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4000" windowHeight="9285" firstSheet="4" activeTab="4"/>
  </bookViews>
  <sheets>
    <sheet name="2018 - Analítico" sheetId="1" r:id="rId1"/>
    <sheet name="2018 - Sintético" sheetId="2" r:id="rId2"/>
    <sheet name="2019 - Analítico" sheetId="3" r:id="rId3"/>
    <sheet name="2019 -Sintético" sheetId="4" r:id="rId4"/>
    <sheet name="2022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7" l="1"/>
  <c r="C20" i="7"/>
  <c r="B20" i="7"/>
  <c r="B34" i="7" l="1"/>
  <c r="D34" i="7" s="1"/>
  <c r="C19" i="7"/>
  <c r="B19" i="7"/>
  <c r="D45" i="7"/>
  <c r="D44" i="7"/>
  <c r="D43" i="7"/>
  <c r="D42" i="7"/>
  <c r="D41" i="7"/>
  <c r="D40" i="7"/>
  <c r="D39" i="7"/>
  <c r="D38" i="7"/>
  <c r="D37" i="7"/>
  <c r="D36" i="7"/>
  <c r="D35" i="7"/>
  <c r="D30" i="7"/>
  <c r="D29" i="7"/>
  <c r="D28" i="7"/>
  <c r="D27" i="7"/>
  <c r="D26" i="7"/>
  <c r="D25" i="7"/>
  <c r="D24" i="7"/>
  <c r="D23" i="7"/>
  <c r="D22" i="7"/>
  <c r="D21" i="7"/>
  <c r="D20" i="7"/>
  <c r="D19" i="7"/>
  <c r="D15" i="7"/>
  <c r="D14" i="7"/>
  <c r="D13" i="7"/>
  <c r="D12" i="7"/>
  <c r="D11" i="7"/>
  <c r="D10" i="7"/>
  <c r="D9" i="7"/>
  <c r="D8" i="7"/>
  <c r="D7" i="7"/>
  <c r="D6" i="7"/>
  <c r="D5" i="7"/>
  <c r="D4" i="7"/>
  <c r="B45" i="4" l="1"/>
  <c r="C45" i="4"/>
  <c r="C30" i="4"/>
  <c r="B30" i="4"/>
  <c r="C15" i="4"/>
  <c r="B44" i="4" l="1"/>
  <c r="B25" i="4" l="1"/>
  <c r="B10" i="4"/>
  <c r="B43" i="4"/>
  <c r="C28" i="4"/>
  <c r="B28" i="4"/>
  <c r="B13" i="4"/>
  <c r="B42" i="4" l="1"/>
  <c r="C27" i="4"/>
  <c r="B27" i="4"/>
  <c r="B12" i="4"/>
  <c r="B41" i="4" l="1"/>
  <c r="C26" i="4"/>
  <c r="B26" i="4"/>
  <c r="B11" i="4"/>
  <c r="C25" i="4" l="1"/>
  <c r="D45" i="4" l="1"/>
  <c r="D44" i="4"/>
  <c r="D43" i="4"/>
  <c r="D42" i="4"/>
  <c r="D41" i="4"/>
  <c r="D40" i="4"/>
  <c r="D39" i="4"/>
  <c r="D38" i="4"/>
  <c r="D37" i="4"/>
  <c r="D36" i="4"/>
  <c r="D35" i="4"/>
  <c r="D34" i="4"/>
  <c r="D30" i="4"/>
  <c r="D29" i="4"/>
  <c r="D28" i="4"/>
  <c r="D27" i="4"/>
  <c r="D26" i="4"/>
  <c r="D25" i="4"/>
  <c r="D24" i="4"/>
  <c r="D23" i="4"/>
  <c r="D22" i="4"/>
  <c r="D21" i="4"/>
  <c r="D20" i="4"/>
  <c r="D19" i="4"/>
  <c r="D15" i="4"/>
  <c r="D14" i="4"/>
  <c r="D13" i="4"/>
  <c r="D12" i="4"/>
  <c r="D11" i="4"/>
  <c r="D10" i="4"/>
  <c r="D9" i="4"/>
  <c r="D8" i="4"/>
  <c r="D7" i="4"/>
  <c r="D6" i="4"/>
  <c r="D5" i="4"/>
  <c r="D4" i="4"/>
  <c r="H53" i="3"/>
  <c r="G53" i="3"/>
  <c r="I53" i="3" s="1"/>
  <c r="C53" i="3"/>
  <c r="B53" i="3"/>
  <c r="D53" i="3" s="1"/>
  <c r="I40" i="3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D40" i="3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H35" i="3"/>
  <c r="G35" i="3"/>
  <c r="C35" i="3"/>
  <c r="I22" i="3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B35" i="3"/>
  <c r="H17" i="3"/>
  <c r="G17" i="3"/>
  <c r="I17" i="3" s="1"/>
  <c r="C17" i="3"/>
  <c r="B17" i="3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I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D4" i="3"/>
  <c r="D35" i="3" l="1"/>
  <c r="I35" i="3"/>
  <c r="D17" i="3"/>
  <c r="D22" i="3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C15" i="2"/>
  <c r="C52" i="1"/>
  <c r="B52" i="1"/>
  <c r="B45" i="2" s="1"/>
  <c r="C34" i="1"/>
  <c r="B34" i="1"/>
  <c r="B30" i="2" s="1"/>
  <c r="B15" i="1"/>
  <c r="B16" i="1"/>
  <c r="B15" i="2" s="1"/>
  <c r="D15" i="2" s="1"/>
  <c r="C16" i="1"/>
  <c r="G52" i="1" l="1"/>
  <c r="H52" i="1"/>
  <c r="H34" i="1"/>
  <c r="G34" i="1"/>
  <c r="C30" i="2" s="1"/>
  <c r="D30" i="2" s="1"/>
  <c r="H16" i="1"/>
  <c r="C45" i="2" l="1"/>
  <c r="D45" i="2" s="1"/>
  <c r="C44" i="2"/>
  <c r="B44" i="2"/>
  <c r="D44" i="2" s="1"/>
  <c r="C29" i="2"/>
  <c r="C33" i="1"/>
  <c r="B33" i="1"/>
  <c r="B29" i="2" s="1"/>
  <c r="D29" i="2" s="1"/>
  <c r="C14" i="2"/>
  <c r="B14" i="2"/>
  <c r="C15" i="1"/>
  <c r="D14" i="2" l="1"/>
  <c r="D43" i="2"/>
  <c r="D42" i="2"/>
  <c r="D41" i="2"/>
  <c r="D40" i="2"/>
  <c r="D39" i="2"/>
  <c r="D38" i="2"/>
  <c r="D37" i="2"/>
  <c r="D36" i="2"/>
  <c r="D35" i="2"/>
  <c r="D34" i="2"/>
  <c r="D28" i="2"/>
  <c r="D27" i="2"/>
  <c r="D26" i="2"/>
  <c r="D25" i="2"/>
  <c r="D24" i="2"/>
  <c r="D23" i="2"/>
  <c r="D22" i="2"/>
  <c r="D21" i="2"/>
  <c r="D20" i="2"/>
  <c r="D19" i="2"/>
  <c r="D5" i="2"/>
  <c r="D6" i="2"/>
  <c r="D7" i="2"/>
  <c r="D8" i="2"/>
  <c r="D9" i="2"/>
  <c r="D10" i="2"/>
  <c r="D11" i="2"/>
  <c r="D12" i="2"/>
  <c r="D13" i="2"/>
  <c r="D4" i="2"/>
  <c r="B23" i="1" l="1"/>
  <c r="B24" i="1"/>
  <c r="H17" i="1" l="1"/>
  <c r="G17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H53" i="1"/>
  <c r="G53" i="1"/>
  <c r="I40" i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G32" i="1"/>
  <c r="H32" i="1"/>
  <c r="G31" i="1"/>
  <c r="H31" i="1"/>
  <c r="H30" i="1"/>
  <c r="G30" i="1"/>
  <c r="G29" i="1"/>
  <c r="G28" i="1"/>
  <c r="H28" i="1"/>
  <c r="G27" i="1"/>
  <c r="H27" i="1"/>
  <c r="G26" i="1"/>
  <c r="G25" i="1"/>
  <c r="G24" i="1"/>
  <c r="G23" i="1"/>
  <c r="H29" i="1"/>
  <c r="I22" i="1"/>
  <c r="B41" i="1"/>
  <c r="B50" i="1"/>
  <c r="B49" i="1"/>
  <c r="B48" i="1"/>
  <c r="B47" i="1"/>
  <c r="B46" i="1"/>
  <c r="B45" i="1"/>
  <c r="B44" i="1"/>
  <c r="B43" i="1"/>
  <c r="B42" i="1"/>
  <c r="I23" i="1" l="1"/>
  <c r="I24" i="1" s="1"/>
  <c r="I25" i="1" s="1"/>
  <c r="I26" i="1" s="1"/>
  <c r="I27" i="1" s="1"/>
  <c r="I17" i="1"/>
  <c r="I53" i="1"/>
  <c r="B53" i="1"/>
  <c r="G35" i="1"/>
  <c r="H35" i="1"/>
  <c r="I28" i="1"/>
  <c r="I29" i="1" s="1"/>
  <c r="I30" i="1" s="1"/>
  <c r="I31" i="1" s="1"/>
  <c r="I32" i="1" s="1"/>
  <c r="I33" i="1" s="1"/>
  <c r="I34" i="1" s="1"/>
  <c r="C50" i="1"/>
  <c r="C49" i="1"/>
  <c r="C48" i="1"/>
  <c r="C47" i="1"/>
  <c r="C46" i="1"/>
  <c r="C45" i="1"/>
  <c r="C44" i="1"/>
  <c r="C43" i="1"/>
  <c r="C42" i="1"/>
  <c r="D40" i="1"/>
  <c r="C23" i="1"/>
  <c r="B22" i="1"/>
  <c r="D22" i="1" s="1"/>
  <c r="D23" i="1" s="1"/>
  <c r="B32" i="1"/>
  <c r="C32" i="1"/>
  <c r="B31" i="1"/>
  <c r="C31" i="1"/>
  <c r="B30" i="1"/>
  <c r="C30" i="1"/>
  <c r="B29" i="1"/>
  <c r="B28" i="1"/>
  <c r="B27" i="1"/>
  <c r="B26" i="1"/>
  <c r="C27" i="1"/>
  <c r="B25" i="1"/>
  <c r="C29" i="1"/>
  <c r="I35" i="1" l="1"/>
  <c r="C53" i="1"/>
  <c r="D53" i="1" s="1"/>
  <c r="B35" i="1"/>
  <c r="C35" i="1"/>
  <c r="D41" i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B14" i="1"/>
  <c r="B13" i="1"/>
  <c r="B12" i="1"/>
  <c r="B11" i="1"/>
  <c r="B10" i="1"/>
  <c r="B9" i="1"/>
  <c r="B8" i="1"/>
  <c r="B7" i="1"/>
  <c r="B6" i="1"/>
  <c r="B5" i="1"/>
  <c r="C13" i="1"/>
  <c r="C9" i="1"/>
  <c r="D4" i="1"/>
  <c r="B17" i="1" l="1"/>
  <c r="D35" i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C17" i="1"/>
  <c r="D24" i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17" i="1" l="1"/>
</calcChain>
</file>

<file path=xl/comments1.xml><?xml version="1.0" encoding="utf-8"?>
<comments xmlns="http://schemas.openxmlformats.org/spreadsheetml/2006/main">
  <authors>
    <author>Lucio Pereira Sousa</author>
  </authors>
  <commentList>
    <comment ref="B10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 + 211410112</t>
        </r>
      </text>
    </comment>
    <comment ref="C10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25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+ 211420104 + 211420105</t>
        </r>
      </text>
    </comment>
    <comment ref="C25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</t>
        </r>
      </text>
    </comment>
    <comment ref="B40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+ 211430111
</t>
        </r>
      </text>
    </comment>
    <comment ref="C40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</commentList>
</comments>
</file>

<file path=xl/sharedStrings.xml><?xml version="1.0" encoding="utf-8"?>
<sst xmlns="http://schemas.openxmlformats.org/spreadsheetml/2006/main" count="391" uniqueCount="52">
  <si>
    <t>RJPREV - Exercício 2018</t>
  </si>
  <si>
    <t>PATROCINADOR</t>
  </si>
  <si>
    <t>EMPREGADO</t>
  </si>
  <si>
    <t>Meses</t>
  </si>
  <si>
    <t>Contribuição</t>
  </si>
  <si>
    <t>Recolhimento</t>
  </si>
  <si>
    <t>Saldo</t>
  </si>
  <si>
    <t xml:space="preserve">Retenção </t>
  </si>
  <si>
    <t>Repasse</t>
  </si>
  <si>
    <t>Inicial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</si>
  <si>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</si>
  <si>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</si>
  <si>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</si>
  <si>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</si>
  <si>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</si>
  <si>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</si>
  <si>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</si>
  <si>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</si>
  <si>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</si>
  <si>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</si>
  <si>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</si>
  <si>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</si>
  <si>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</si>
  <si>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RIOPREVIDÊNCIA - Exercício 2018</t>
  </si>
  <si>
    <t>INSS - Exercício 2018</t>
  </si>
  <si>
    <t>Nota: Os valores da contribuição consideram o provisionamento do 13º Salário</t>
  </si>
  <si>
    <t>Fonte: SIAFE/RIO</t>
  </si>
  <si>
    <t>RJPREV - EXERCÍCIO DE 2018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</si>
  <si>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</si>
  <si>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</si>
  <si>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</si>
  <si>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</si>
  <si>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</si>
  <si>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</si>
  <si>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</si>
  <si>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</si>
  <si>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</si>
  <si>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</si>
  <si>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</si>
  <si>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</si>
  <si>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</si>
  <si>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</si>
  <si>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</si>
  <si>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</si>
  <si>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2018</t>
  </si>
  <si>
    <t>INSS - EXERCÍCIO DE 2018</t>
  </si>
  <si>
    <t>RJPREV - EXERCÍCIO DE 2019</t>
  </si>
  <si>
    <t>RIOPREVIDÊNCIA - EXERCÍCIO DE 2019</t>
  </si>
  <si>
    <t>INSS - EXERCÍCIO DE 2019</t>
  </si>
  <si>
    <t>RJPREV - EXERCÍCIO DE 2022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</si>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</sst>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2"/>
    <xf numFmtId="0" fontId="2" fillId="2" borderId="0" xfId="2" applyFont="1"/>
    <xf numFmtId="0" fontId="2" fillId="4" borderId="0" xfId="4" applyFont="1"/>
    <xf numFmtId="0" fontId="1" fillId="3" borderId="0" xfId="3"/>
    <xf numFmtId="43" fontId="1" fillId="3" borderId="0" xfId="3" applyNumberFormat="1"/>
    <xf numFmtId="0" fontId="2" fillId="4" borderId="0" xfId="4" applyFont="1" applyAlignment="1">
      <alignment horizontal="center"/>
    </xf>
    <xf numFmtId="0" fontId="3" fillId="2" borderId="0" xfId="2" applyAlignment="1">
      <alignment horizontal="center"/>
    </xf>
    <xf numFmtId="43" fontId="1" fillId="3" borderId="0" xfId="1" applyFill="1"/>
    <xf numFmtId="43" fontId="2" fillId="4" borderId="0" xfId="4" applyNumberFormat="1" applyFont="1"/>
    <xf numFmtId="4" fontId="2" fillId="4" borderId="0" xfId="4" applyNumberFormat="1" applyFont="1"/>
    <xf numFmtId="44" fontId="1" fillId="3" borderId="0" xfId="5" applyFill="1"/>
    <xf numFmtId="0" fontId="0" fillId="5" borderId="0" xfId="3" applyFont="1" applyFill="1"/>
    <xf numFmtId="0" fontId="2" fillId="4" borderId="0" xfId="4" applyFont="1" applyAlignment="1">
      <alignment horizontal="center" vertical="center" wrapText="1"/>
    </xf>
    <xf numFmtId="44" fontId="1" fillId="3" borderId="0" xfId="3" applyNumberFormat="1"/>
    <xf numFmtId="44" fontId="2" fillId="4" borderId="0" xfId="4" applyNumberFormat="1" applyFont="1"/>
    <xf numFmtId="44" fontId="0" fillId="3" borderId="0" xfId="5" applyFont="1" applyFill="1"/>
    <xf numFmtId="43" fontId="0" fillId="0" borderId="0" xfId="0" applyNumberFormat="1"/>
    <xf numFmtId="44" fontId="4" fillId="3" borderId="0" xfId="3" applyNumberFormat="1" applyFont="1"/>
    <xf numFmtId="0" fontId="4" fillId="0" borderId="0" xfId="0" applyFont="1"/>
    <xf numFmtId="0" fontId="7" fillId="4" borderId="0" xfId="4" applyFont="1" applyAlignment="1">
      <alignment horizontal="center" vertical="center" wrapText="1"/>
    </xf>
    <xf numFmtId="0" fontId="4" fillId="3" borderId="0" xfId="3" applyFont="1"/>
    <xf numFmtId="44" fontId="7" fillId="4" borderId="0" xfId="4" applyNumberFormat="1" applyFont="1"/>
    <xf numFmtId="43" fontId="4" fillId="0" borderId="0" xfId="1" applyFont="1"/>
    <xf numFmtId="43" fontId="8" fillId="0" borderId="0" xfId="0" applyNumberFormat="1" applyFont="1"/>
    <xf numFmtId="43" fontId="8" fillId="0" borderId="0" xfId="1" applyFont="1"/>
    <xf numFmtId="44" fontId="4" fillId="0" borderId="0" xfId="0" applyNumberFormat="1" applyFont="1"/>
    <xf numFmtId="43" fontId="4" fillId="0" borderId="0" xfId="0" applyNumberFormat="1" applyFont="1"/>
    <xf numFmtId="0" fontId="2" fillId="2" borderId="0" xfId="2" applyFont="1" applyAlignment="1">
      <alignment horizontal="center"/>
    </xf>
    <xf numFmtId="0" fontId="7" fillId="2" borderId="0" xfId="2" applyFont="1" applyAlignment="1">
      <alignment horizontal="center"/>
    </xf>
  </cellXfs>
  <cellStyles count="6">
    <cellStyle name="20% - Ênfase5" xfId="3" builtinId="46"/>
    <cellStyle name="60% - Ênfase5" xfId="4" builtinId="48"/>
    <cellStyle name="Ênfase5" xfId="2" builtinId="45"/>
    <cellStyle name="Moeda" xfId="5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showWhiteSpace="0" view="pageLayout" zoomScaleNormal="100" workbookViewId="0">
      <selection activeCell="C6" sqref="C6"/>
    </sheetView>
  </sheetViews>
  <sheetFormatPr defaultRowHeight="15" x14ac:dyDescent="0.25"/>
  <cols>
    <col min="1" max="1" width="10.42578125" bestFit="1" customWidth="1"/>
    <col min="2" max="2" width="16.85546875" bestFit="1" customWidth="1"/>
    <col min="3" max="4" width="18" bestFit="1" customWidth="1"/>
    <col min="5" max="5" width="1.42578125" customWidth="1"/>
    <col min="6" max="6" width="10.42578125" bestFit="1" customWidth="1"/>
    <col min="7" max="9" width="16.85546875" bestFit="1" customWidth="1"/>
    <col min="12" max="12" width="11.5703125" bestFit="1" customWidth="1"/>
  </cols>
  <sheetData>
    <row r="1" spans="1:9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8" t="s">
        <v>1</v>
      </c>
      <c r="B2" s="28"/>
      <c r="C2" s="28"/>
      <c r="D2" s="28"/>
      <c r="E2" s="2"/>
      <c r="F2" s="28" t="s">
        <v>2</v>
      </c>
      <c r="G2" s="28"/>
      <c r="H2" s="28"/>
      <c r="I2" s="28"/>
    </row>
    <row r="3" spans="1:9" x14ac:dyDescent="0.25">
      <c r="A3" s="6" t="s">
        <v>3</v>
      </c>
      <c r="B3" s="6" t="s">
        <v>4</v>
      </c>
      <c r="C3" s="6" t="s">
        <v>5</v>
      </c>
      <c r="D3" s="6" t="s">
        <v>6</v>
      </c>
      <c r="E3" s="7"/>
      <c r="F3" s="6" t="s">
        <v>3</v>
      </c>
      <c r="G3" s="6" t="s">
        <v>7</v>
      </c>
      <c r="H3" s="6" t="s">
        <v>8</v>
      </c>
      <c r="I3" s="6" t="s">
        <v>6</v>
      </c>
    </row>
    <row r="4" spans="1:9" x14ac:dyDescent="0.25">
      <c r="A4" s="4" t="s">
        <v>9</v>
      </c>
      <c r="B4" s="5">
        <v>0</v>
      </c>
      <c r="C4" s="5">
        <v>0</v>
      </c>
      <c r="D4" s="5">
        <f>B4-C4</f>
        <v>0</v>
      </c>
      <c r="E4" s="1"/>
      <c r="F4" s="4" t="s">
        <v>9</v>
      </c>
      <c r="G4" s="8">
        <v>0</v>
      </c>
      <c r="H4" s="8">
        <v>0</v>
      </c>
      <c r="I4" s="8">
        <f>G4-H4</f>
        <v>0</v>
      </c>
    </row>
    <row r="5" spans="1:9" x14ac:dyDescent="0.25">
      <c r="A5" s="4" t="s">
        <v>10</v>
      </c>
      <c r="B5" s="11">
        <f>99704.91+8724.18</f>
        <v>108429.09</v>
      </c>
      <c r="C5" s="11">
        <v>0</v>
      </c>
      <c r="D5" s="11">
        <f>B5-C5</f>
        <v>108429.09</v>
      </c>
      <c r="E5" s="1"/>
      <c r="F5" s="4" t="s">
        <v>10</v>
      </c>
      <c r="G5" s="11">
        <v>131644.93</v>
      </c>
      <c r="H5" s="11">
        <v>0</v>
      </c>
      <c r="I5" s="11">
        <f>I4+G5-H5</f>
        <v>131644.93</v>
      </c>
    </row>
    <row r="6" spans="1:9" x14ac:dyDescent="0.25">
      <c r="A6" s="4" t="s">
        <v>11</v>
      </c>
      <c r="B6" s="11">
        <f>96713.26+8462.41</f>
        <v>105175.67</v>
      </c>
      <c r="C6" s="11">
        <v>99704.91</v>
      </c>
      <c r="D6" s="11">
        <f t="shared" ref="D6:D16" si="0">D5+B6-C6</f>
        <v>113899.85</v>
      </c>
      <c r="E6" s="1"/>
      <c r="F6" s="4" t="s">
        <v>11</v>
      </c>
      <c r="G6" s="11">
        <v>128147.84</v>
      </c>
      <c r="H6" s="11">
        <v>131644.93</v>
      </c>
      <c r="I6" s="11">
        <f t="shared" ref="I6:I16" si="1">I5+G6-H6</f>
        <v>128147.84</v>
      </c>
    </row>
    <row r="7" spans="1:9" x14ac:dyDescent="0.25">
      <c r="A7" s="4" t="s">
        <v>12</v>
      </c>
      <c r="B7" s="11">
        <f>100377.59+8783.03</f>
        <v>109160.62</v>
      </c>
      <c r="C7" s="11">
        <v>96713.26</v>
      </c>
      <c r="D7" s="11">
        <f t="shared" si="0"/>
        <v>126347.21</v>
      </c>
      <c r="E7" s="1"/>
      <c r="F7" s="4" t="s">
        <v>12</v>
      </c>
      <c r="G7" s="11">
        <v>132497.72</v>
      </c>
      <c r="H7" s="11">
        <v>128147.84</v>
      </c>
      <c r="I7" s="11">
        <f t="shared" si="1"/>
        <v>132497.72</v>
      </c>
    </row>
    <row r="8" spans="1:9" x14ac:dyDescent="0.25">
      <c r="A8" s="4" t="s">
        <v>13</v>
      </c>
      <c r="B8" s="11">
        <f>100971.85+8835.03</f>
        <v>109806.88</v>
      </c>
      <c r="C8" s="11">
        <v>100377.59</v>
      </c>
      <c r="D8" s="11">
        <f t="shared" si="0"/>
        <v>135776.50000000003</v>
      </c>
      <c r="E8" s="1"/>
      <c r="F8" s="4" t="s">
        <v>13</v>
      </c>
      <c r="G8" s="11">
        <v>132501.29999999999</v>
      </c>
      <c r="H8" s="11">
        <v>132497.72</v>
      </c>
      <c r="I8" s="11">
        <f t="shared" si="1"/>
        <v>132501.30000000002</v>
      </c>
    </row>
    <row r="9" spans="1:9" x14ac:dyDescent="0.25">
      <c r="A9" s="4" t="s">
        <v>14</v>
      </c>
      <c r="B9" s="11">
        <f>663.43+101665.23+8895.71</f>
        <v>111224.37</v>
      </c>
      <c r="C9" s="11">
        <f>100971.85+663.43</f>
        <v>101635.28</v>
      </c>
      <c r="D9" s="11">
        <f t="shared" si="0"/>
        <v>145365.59000000003</v>
      </c>
      <c r="E9" s="1"/>
      <c r="F9" s="4" t="s">
        <v>14</v>
      </c>
      <c r="G9" s="11">
        <v>133373.95000000001</v>
      </c>
      <c r="H9" s="11">
        <v>132501.29999999999</v>
      </c>
      <c r="I9" s="11">
        <f t="shared" si="1"/>
        <v>133373.95000000001</v>
      </c>
    </row>
    <row r="10" spans="1:9" x14ac:dyDescent="0.25">
      <c r="A10" s="4" t="s">
        <v>15</v>
      </c>
      <c r="B10" s="11">
        <f>104099.83+9108.79</f>
        <v>113208.62</v>
      </c>
      <c r="C10" s="11">
        <v>101665.23</v>
      </c>
      <c r="D10" s="11">
        <f t="shared" si="0"/>
        <v>156908.98000000004</v>
      </c>
      <c r="E10" s="1"/>
      <c r="F10" s="4" t="s">
        <v>15</v>
      </c>
      <c r="G10" s="11">
        <v>136258.60999999999</v>
      </c>
      <c r="H10" s="11">
        <v>133373.95000000001</v>
      </c>
      <c r="I10" s="11">
        <f t="shared" si="1"/>
        <v>136258.60999999999</v>
      </c>
    </row>
    <row r="11" spans="1:9" x14ac:dyDescent="0.25">
      <c r="A11" s="4" t="s">
        <v>16</v>
      </c>
      <c r="B11" s="11">
        <f>104386.68+9133.83</f>
        <v>113520.51</v>
      </c>
      <c r="C11" s="11">
        <v>104099.83</v>
      </c>
      <c r="D11" s="11">
        <f t="shared" si="0"/>
        <v>166329.66000000003</v>
      </c>
      <c r="E11" s="1"/>
      <c r="F11" s="4" t="s">
        <v>16</v>
      </c>
      <c r="G11" s="11">
        <v>136857.32999999999</v>
      </c>
      <c r="H11" s="11">
        <v>136258.60999999999</v>
      </c>
      <c r="I11" s="11">
        <f t="shared" si="1"/>
        <v>136857.32999999996</v>
      </c>
    </row>
    <row r="12" spans="1:9" x14ac:dyDescent="0.25">
      <c r="A12" s="4" t="s">
        <v>17</v>
      </c>
      <c r="B12" s="11">
        <f>106144.99+9287.69</f>
        <v>115432.68000000001</v>
      </c>
      <c r="C12" s="11">
        <v>104386.68</v>
      </c>
      <c r="D12" s="11">
        <f t="shared" si="0"/>
        <v>177375.66000000003</v>
      </c>
      <c r="E12" s="1"/>
      <c r="F12" s="4" t="s">
        <v>17</v>
      </c>
      <c r="G12" s="11">
        <v>138489.57999999999</v>
      </c>
      <c r="H12" s="11">
        <v>136857.32999999999</v>
      </c>
      <c r="I12" s="11">
        <f t="shared" si="1"/>
        <v>138489.57999999993</v>
      </c>
    </row>
    <row r="13" spans="1:9" x14ac:dyDescent="0.25">
      <c r="A13" s="4" t="s">
        <v>18</v>
      </c>
      <c r="B13" s="11">
        <f>602.44+108453.21+9489.65</f>
        <v>118545.3</v>
      </c>
      <c r="C13" s="11">
        <f>602.44+106144.99</f>
        <v>106747.43000000001</v>
      </c>
      <c r="D13" s="11">
        <f t="shared" si="0"/>
        <v>189173.53000000003</v>
      </c>
      <c r="E13" s="1"/>
      <c r="F13" s="4" t="s">
        <v>18</v>
      </c>
      <c r="G13" s="11">
        <v>141108.41</v>
      </c>
      <c r="H13" s="11">
        <v>138489.57999999999</v>
      </c>
      <c r="I13" s="11">
        <f t="shared" si="1"/>
        <v>141108.40999999995</v>
      </c>
    </row>
    <row r="14" spans="1:9" x14ac:dyDescent="0.25">
      <c r="A14" s="4" t="s">
        <v>19</v>
      </c>
      <c r="B14" s="11">
        <f>107812.88+9433.63</f>
        <v>117246.51000000001</v>
      </c>
      <c r="C14" s="11">
        <v>108453.21</v>
      </c>
      <c r="D14" s="11">
        <f t="shared" si="0"/>
        <v>197966.83000000002</v>
      </c>
      <c r="E14" s="1"/>
      <c r="F14" s="4" t="s">
        <v>19</v>
      </c>
      <c r="G14" s="11">
        <v>140427.66</v>
      </c>
      <c r="H14" s="11">
        <v>141108.41</v>
      </c>
      <c r="I14" s="11">
        <f t="shared" si="1"/>
        <v>140427.65999999995</v>
      </c>
    </row>
    <row r="15" spans="1:9" x14ac:dyDescent="0.25">
      <c r="A15" s="4" t="s">
        <v>20</v>
      </c>
      <c r="B15" s="14">
        <f>108559.81+547.68+9498.98</f>
        <v>118606.46999999999</v>
      </c>
      <c r="C15" s="11">
        <f>547.68+107812.88</f>
        <v>108360.56</v>
      </c>
      <c r="D15" s="11">
        <f t="shared" si="0"/>
        <v>208212.74</v>
      </c>
      <c r="E15" s="1"/>
      <c r="F15" s="4" t="s">
        <v>20</v>
      </c>
      <c r="G15" s="11">
        <v>141412.37</v>
      </c>
      <c r="H15" s="11">
        <v>140427.66</v>
      </c>
      <c r="I15" s="11">
        <f t="shared" si="1"/>
        <v>141412.36999999991</v>
      </c>
    </row>
    <row r="16" spans="1:9" x14ac:dyDescent="0.25">
      <c r="A16" s="4" t="s">
        <v>21</v>
      </c>
      <c r="B16" s="14">
        <f>126056.15+273.84+26353.78</f>
        <v>152683.76999999999</v>
      </c>
      <c r="C16" s="11">
        <f>234840.36</f>
        <v>234840.36</v>
      </c>
      <c r="D16" s="11">
        <f t="shared" si="0"/>
        <v>126056.15000000002</v>
      </c>
      <c r="E16" s="1"/>
      <c r="F16" s="4" t="s">
        <v>21</v>
      </c>
      <c r="G16" s="11">
        <v>323516.01</v>
      </c>
      <c r="H16" s="11">
        <f>302440.59</f>
        <v>302440.59000000003</v>
      </c>
      <c r="I16" s="11">
        <f t="shared" si="1"/>
        <v>162487.78999999986</v>
      </c>
    </row>
    <row r="17" spans="1:12" x14ac:dyDescent="0.25">
      <c r="A17" s="3" t="s">
        <v>22</v>
      </c>
      <c r="B17" s="9">
        <f>SUM(B4:B16)</f>
        <v>1393040.49</v>
      </c>
      <c r="C17" s="9">
        <f>SUM(C4:C16)</f>
        <v>1266984.3399999999</v>
      </c>
      <c r="D17" s="9">
        <f>B17-C17</f>
        <v>126056.15000000014</v>
      </c>
      <c r="E17" s="3"/>
      <c r="F17" s="3" t="s">
        <v>22</v>
      </c>
      <c r="G17" s="9">
        <f>SUM(G4:G16)</f>
        <v>1816235.7099999997</v>
      </c>
      <c r="H17" s="9">
        <f>SUM(H4:H16)</f>
        <v>1653747.92</v>
      </c>
      <c r="I17" s="9">
        <f>G17-H17</f>
        <v>162487.7899999998</v>
      </c>
      <c r="L17" s="17"/>
    </row>
    <row r="19" spans="1:12" x14ac:dyDescent="0.25">
      <c r="A19" s="28" t="s">
        <v>23</v>
      </c>
      <c r="B19" s="28"/>
      <c r="C19" s="28"/>
      <c r="D19" s="28"/>
      <c r="E19" s="28"/>
      <c r="F19" s="28"/>
      <c r="G19" s="28"/>
      <c r="H19" s="28"/>
      <c r="I19" s="28"/>
    </row>
    <row r="20" spans="1:12" x14ac:dyDescent="0.25">
      <c r="A20" s="28" t="s">
        <v>1</v>
      </c>
      <c r="B20" s="28"/>
      <c r="C20" s="28"/>
      <c r="D20" s="28"/>
      <c r="E20" s="2"/>
      <c r="F20" s="28" t="s">
        <v>2</v>
      </c>
      <c r="G20" s="28"/>
      <c r="H20" s="28"/>
      <c r="I20" s="28"/>
    </row>
    <row r="21" spans="1:12" x14ac:dyDescent="0.25">
      <c r="A21" s="3" t="s">
        <v>3</v>
      </c>
      <c r="B21" s="6" t="s">
        <v>4</v>
      </c>
      <c r="C21" s="6" t="s">
        <v>5</v>
      </c>
      <c r="D21" s="3" t="s">
        <v>6</v>
      </c>
      <c r="E21" s="1"/>
      <c r="F21" s="3" t="s">
        <v>3</v>
      </c>
      <c r="G21" s="6" t="s">
        <v>4</v>
      </c>
      <c r="H21" s="6" t="s">
        <v>5</v>
      </c>
      <c r="I21" s="3" t="s">
        <v>6</v>
      </c>
    </row>
    <row r="22" spans="1:12" x14ac:dyDescent="0.25">
      <c r="A22" s="4" t="s">
        <v>9</v>
      </c>
      <c r="B22" s="11">
        <f>38687865.42+37941621.76+1048235.32</f>
        <v>77677722.5</v>
      </c>
      <c r="C22" s="11">
        <v>0</v>
      </c>
      <c r="D22" s="11">
        <f>B22-C22</f>
        <v>77677722.5</v>
      </c>
      <c r="E22" s="1"/>
      <c r="F22" s="4" t="s">
        <v>9</v>
      </c>
      <c r="G22" s="8">
        <v>0</v>
      </c>
      <c r="H22" s="8">
        <v>0</v>
      </c>
      <c r="I22" s="8">
        <f>G22-H22</f>
        <v>0</v>
      </c>
    </row>
    <row r="23" spans="1:12" x14ac:dyDescent="0.25">
      <c r="A23" s="4" t="s">
        <v>10</v>
      </c>
      <c r="B23" s="11">
        <f>4094417.78+113435.93+38532907.84+1046092.3</f>
        <v>43786853.850000001</v>
      </c>
      <c r="C23" s="11">
        <f>76629487.18+1048235.32</f>
        <v>77677722.5</v>
      </c>
      <c r="D23" s="11">
        <f>D22+B23-C23</f>
        <v>43786853.849999994</v>
      </c>
      <c r="E23" s="1"/>
      <c r="F23" s="4" t="s">
        <v>10</v>
      </c>
      <c r="G23" s="11">
        <f>19289186.26+665695.14</f>
        <v>19954881.400000002</v>
      </c>
      <c r="H23" s="11">
        <v>0</v>
      </c>
      <c r="I23" s="11">
        <f>I22+G23-H23</f>
        <v>19954881.400000002</v>
      </c>
    </row>
    <row r="24" spans="1:12" x14ac:dyDescent="0.25">
      <c r="A24" s="4" t="s">
        <v>11</v>
      </c>
      <c r="B24" s="11">
        <f>4274784.93+110010.2+38536802.28+1057772.32</f>
        <v>43979369.730000004</v>
      </c>
      <c r="C24" s="11">
        <v>38532907.840000004</v>
      </c>
      <c r="D24" s="11">
        <f t="shared" ref="D24:D34" si="2">D23+B24-C24</f>
        <v>49233315.739999995</v>
      </c>
      <c r="E24" s="1"/>
      <c r="F24" s="4" t="s">
        <v>11</v>
      </c>
      <c r="G24" s="11">
        <f>19287556.87+673127.81</f>
        <v>19960684.68</v>
      </c>
      <c r="H24" s="11">
        <v>19289186.260000002</v>
      </c>
      <c r="I24" s="11">
        <f t="shared" ref="I24:I34" si="3">I23+G24-H24</f>
        <v>20626379.819999997</v>
      </c>
    </row>
    <row r="25" spans="1:12" x14ac:dyDescent="0.25">
      <c r="A25" s="4" t="s">
        <v>12</v>
      </c>
      <c r="B25" s="11">
        <f>4258637.41+112696.29+38317025.26+1047906.42</f>
        <v>43736265.380000003</v>
      </c>
      <c r="C25" s="11">
        <v>38536802.280000001</v>
      </c>
      <c r="D25" s="11">
        <f t="shared" si="2"/>
        <v>54432778.840000004</v>
      </c>
      <c r="E25" s="1"/>
      <c r="F25" s="4" t="s">
        <v>12</v>
      </c>
      <c r="G25" s="11">
        <f>19177885.99+666849.5</f>
        <v>19844735.489999998</v>
      </c>
      <c r="H25" s="11">
        <v>19287556.870000001</v>
      </c>
      <c r="I25" s="11">
        <f t="shared" si="3"/>
        <v>21183558.439999994</v>
      </c>
    </row>
    <row r="26" spans="1:12" x14ac:dyDescent="0.25">
      <c r="A26" s="4" t="s">
        <v>13</v>
      </c>
      <c r="B26" s="11">
        <f>4235537.1+113064.71+38008282.68+1051722.32</f>
        <v>43408606.810000002</v>
      </c>
      <c r="C26" s="11">
        <v>0</v>
      </c>
      <c r="D26" s="11">
        <f t="shared" si="2"/>
        <v>97841385.650000006</v>
      </c>
      <c r="E26" s="1"/>
      <c r="F26" s="4" t="s">
        <v>13</v>
      </c>
      <c r="G26" s="11">
        <f>19023514.62+669277.85</f>
        <v>19692792.470000003</v>
      </c>
      <c r="H26" s="11">
        <v>0</v>
      </c>
      <c r="I26" s="11">
        <f t="shared" si="3"/>
        <v>40876350.909999996</v>
      </c>
    </row>
    <row r="27" spans="1:12" x14ac:dyDescent="0.25">
      <c r="A27" s="4" t="s">
        <v>14</v>
      </c>
      <c r="B27" s="11">
        <f>4245776.78+108655.25+38245090.12+994813.38</f>
        <v>43594335.530000001</v>
      </c>
      <c r="C27" s="11">
        <f>38317025.26+1046092.3+1057772.32+1047906.42</f>
        <v>41468796.299999997</v>
      </c>
      <c r="D27" s="11">
        <f t="shared" si="2"/>
        <v>99966924.88000001</v>
      </c>
      <c r="E27" s="1"/>
      <c r="F27" s="4" t="s">
        <v>14</v>
      </c>
      <c r="G27" s="11">
        <f>19141918.31+633063.12</f>
        <v>19774981.43</v>
      </c>
      <c r="H27" s="11">
        <f>19177885.99+673127.81+666849.5+665695.14</f>
        <v>21183558.439999998</v>
      </c>
      <c r="I27" s="11">
        <f t="shared" si="3"/>
        <v>39467773.899999999</v>
      </c>
    </row>
    <row r="28" spans="1:12" x14ac:dyDescent="0.25">
      <c r="A28" s="4" t="s">
        <v>15</v>
      </c>
      <c r="B28" s="11">
        <f>4246149.61+113468.91+38052436.64+1054832.9</f>
        <v>43466888.060000002</v>
      </c>
      <c r="C28" s="11">
        <v>1051722.32</v>
      </c>
      <c r="D28" s="11">
        <f t="shared" si="2"/>
        <v>142382090.62</v>
      </c>
      <c r="E28" s="1"/>
      <c r="F28" s="4" t="s">
        <v>15</v>
      </c>
      <c r="G28" s="11">
        <f>19045591.65+671257.29</f>
        <v>19716848.939999998</v>
      </c>
      <c r="H28" s="11">
        <f>669277.85</f>
        <v>669277.85</v>
      </c>
      <c r="I28" s="11">
        <f t="shared" si="3"/>
        <v>58515344.989999995</v>
      </c>
    </row>
    <row r="29" spans="1:12" x14ac:dyDescent="0.25">
      <c r="A29" s="4" t="s">
        <v>16</v>
      </c>
      <c r="B29" s="11">
        <f>4232813.28+113643.41+37981223.12+1050983.86</f>
        <v>43378663.669999994</v>
      </c>
      <c r="C29" s="11">
        <f>38008282.68+38245090.12+38052436.64</f>
        <v>114305809.44</v>
      </c>
      <c r="D29" s="11">
        <f t="shared" si="2"/>
        <v>71454944.849999994</v>
      </c>
      <c r="E29" s="1"/>
      <c r="F29" s="4" t="s">
        <v>16</v>
      </c>
      <c r="G29" s="11">
        <f>19008615.67+668807.89</f>
        <v>19677423.560000002</v>
      </c>
      <c r="H29" s="11">
        <f>19141918.31+19023514.62+19045591.65</f>
        <v>57211024.579999998</v>
      </c>
      <c r="I29" s="11">
        <f t="shared" si="3"/>
        <v>20981743.969999999</v>
      </c>
    </row>
    <row r="30" spans="1:12" x14ac:dyDescent="0.25">
      <c r="A30" s="4" t="s">
        <v>17</v>
      </c>
      <c r="B30" s="11">
        <f>4238177.41+113493.71+37973522.32+1052276.28</f>
        <v>43377469.719999999</v>
      </c>
      <c r="C30" s="11">
        <f>37981223.12+994813.38+1054832.9+1050983.86</f>
        <v>41081853.259999998</v>
      </c>
      <c r="D30" s="11">
        <f t="shared" si="2"/>
        <v>73750561.310000002</v>
      </c>
      <c r="E30" s="1"/>
      <c r="F30" s="4" t="s">
        <v>17</v>
      </c>
      <c r="G30" s="11">
        <f>19005293.99+669630.32</f>
        <v>19674924.309999999</v>
      </c>
      <c r="H30" s="11">
        <f>19008615.67+671257.29+633063.12+668807.89</f>
        <v>20981743.970000003</v>
      </c>
      <c r="I30" s="11">
        <f t="shared" si="3"/>
        <v>19674924.309999999</v>
      </c>
    </row>
    <row r="31" spans="1:12" x14ac:dyDescent="0.25">
      <c r="A31" s="4" t="s">
        <v>18</v>
      </c>
      <c r="B31" s="11">
        <f>4258181.54+114516.07+37999443.84+1065927.94</f>
        <v>43438069.390000001</v>
      </c>
      <c r="C31" s="11">
        <f>37973522.32+1052276.28</f>
        <v>39025798.600000001</v>
      </c>
      <c r="D31" s="11">
        <f t="shared" si="2"/>
        <v>78162832.099999994</v>
      </c>
      <c r="E31" s="1"/>
      <c r="F31" s="4" t="s">
        <v>18</v>
      </c>
      <c r="G31" s="11">
        <f>19020501.27+678317.75</f>
        <v>19698819.02</v>
      </c>
      <c r="H31" s="11">
        <f>19005293.99+669630.32</f>
        <v>19674924.309999999</v>
      </c>
      <c r="I31" s="11">
        <f t="shared" si="3"/>
        <v>19698819.02</v>
      </c>
    </row>
    <row r="32" spans="1:12" x14ac:dyDescent="0.25">
      <c r="A32" s="4" t="s">
        <v>19</v>
      </c>
      <c r="B32" s="11">
        <f>4227346.1+115152.12+37737378.52+1066919.13</f>
        <v>43146795.870000005</v>
      </c>
      <c r="C32" s="11">
        <f>37999443.84+1065927.94</f>
        <v>39065371.780000001</v>
      </c>
      <c r="D32" s="11">
        <f t="shared" si="2"/>
        <v>82244256.189999998</v>
      </c>
      <c r="E32" s="1"/>
      <c r="F32" s="4" t="s">
        <v>19</v>
      </c>
      <c r="G32" s="11">
        <f>18889609.98+678948.54</f>
        <v>19568558.52</v>
      </c>
      <c r="H32" s="11">
        <f>19020501.27+678317.75</f>
        <v>19698819.02</v>
      </c>
      <c r="I32" s="11">
        <f t="shared" si="3"/>
        <v>19568558.52</v>
      </c>
    </row>
    <row r="33" spans="1:9" x14ac:dyDescent="0.25">
      <c r="A33" s="4" t="s">
        <v>20</v>
      </c>
      <c r="B33" s="16">
        <f>37811809.12+1011718.62+4226119.14+110202.65</f>
        <v>43159849.529999994</v>
      </c>
      <c r="C33" s="11">
        <f>1066919.13+37737378.52</f>
        <v>38804297.650000006</v>
      </c>
      <c r="D33" s="11">
        <f t="shared" si="2"/>
        <v>86599808.069999993</v>
      </c>
      <c r="E33" s="1"/>
      <c r="F33" s="4" t="s">
        <v>20</v>
      </c>
      <c r="G33" s="11">
        <v>19574490.800000001</v>
      </c>
      <c r="H33" s="11">
        <v>19568558.52</v>
      </c>
      <c r="I33" s="11">
        <f t="shared" si="3"/>
        <v>19574490.800000001</v>
      </c>
    </row>
    <row r="34" spans="1:9" x14ac:dyDescent="0.25">
      <c r="A34" s="4" t="s">
        <v>21</v>
      </c>
      <c r="B34" s="16">
        <f>38899915.32-7632720.14+1067322.96</f>
        <v>32334518.140000001</v>
      </c>
      <c r="C34" s="11">
        <f>37811809.12+38905220.94+1011718.62+1238339.25</f>
        <v>78967087.930000007</v>
      </c>
      <c r="D34" s="11">
        <f t="shared" si="2"/>
        <v>39967238.279999986</v>
      </c>
      <c r="E34" s="1"/>
      <c r="F34" s="4" t="s">
        <v>21</v>
      </c>
      <c r="G34" s="11">
        <f>38921464.75+1358581.51</f>
        <v>40280046.259999998</v>
      </c>
      <c r="H34" s="11">
        <f>38383280.36+1323196.92</f>
        <v>39706477.280000001</v>
      </c>
      <c r="I34" s="11">
        <f t="shared" si="3"/>
        <v>20148059.780000001</v>
      </c>
    </row>
    <row r="35" spans="1:9" x14ac:dyDescent="0.25">
      <c r="A35" s="3" t="s">
        <v>22</v>
      </c>
      <c r="B35" s="9">
        <f>SUM(B22:B34)</f>
        <v>588485408.17999995</v>
      </c>
      <c r="C35" s="9">
        <f>SUM(C22:C34)</f>
        <v>548518169.9000001</v>
      </c>
      <c r="D35" s="9">
        <f>B35-C35</f>
        <v>39967238.279999852</v>
      </c>
      <c r="E35" s="3"/>
      <c r="F35" s="3" t="s">
        <v>22</v>
      </c>
      <c r="G35" s="9">
        <f>SUM(G22:G34)</f>
        <v>257419186.88000003</v>
      </c>
      <c r="H35" s="9">
        <f>SUM(H22:H34)</f>
        <v>237271127.10000002</v>
      </c>
      <c r="I35" s="9">
        <f>G35-H35</f>
        <v>20148059.780000001</v>
      </c>
    </row>
    <row r="37" spans="1:9" x14ac:dyDescent="0.25">
      <c r="A37" s="28" t="s">
        <v>24</v>
      </c>
      <c r="B37" s="28"/>
      <c r="C37" s="28"/>
      <c r="D37" s="28"/>
      <c r="E37" s="28"/>
      <c r="F37" s="28"/>
      <c r="G37" s="28"/>
      <c r="H37" s="28"/>
      <c r="I37" s="28"/>
    </row>
    <row r="38" spans="1:9" x14ac:dyDescent="0.25">
      <c r="A38" s="28" t="s">
        <v>1</v>
      </c>
      <c r="B38" s="28"/>
      <c r="C38" s="28"/>
      <c r="D38" s="28"/>
      <c r="E38" s="2"/>
      <c r="F38" s="28" t="s">
        <v>2</v>
      </c>
      <c r="G38" s="28"/>
      <c r="H38" s="28"/>
      <c r="I38" s="28"/>
    </row>
    <row r="39" spans="1:9" x14ac:dyDescent="0.25">
      <c r="A39" s="3" t="s">
        <v>3</v>
      </c>
      <c r="B39" s="6" t="s">
        <v>4</v>
      </c>
      <c r="C39" s="6" t="s">
        <v>5</v>
      </c>
      <c r="D39" s="3" t="s">
        <v>6</v>
      </c>
      <c r="E39" s="1"/>
      <c r="F39" s="3" t="s">
        <v>3</v>
      </c>
      <c r="G39" s="6" t="s">
        <v>4</v>
      </c>
      <c r="H39" s="6" t="s">
        <v>5</v>
      </c>
      <c r="I39" s="3" t="s">
        <v>6</v>
      </c>
    </row>
    <row r="40" spans="1:9" x14ac:dyDescent="0.25">
      <c r="A40" s="4" t="s">
        <v>9</v>
      </c>
      <c r="B40" s="5">
        <v>0</v>
      </c>
      <c r="C40" s="5">
        <v>0</v>
      </c>
      <c r="D40" s="5">
        <f>B40-C40</f>
        <v>0</v>
      </c>
      <c r="E40" s="1"/>
      <c r="F40" s="4" t="s">
        <v>9</v>
      </c>
      <c r="G40" s="8">
        <v>0</v>
      </c>
      <c r="H40" s="8">
        <v>0</v>
      </c>
      <c r="I40" s="8">
        <f>G40-H40</f>
        <v>0</v>
      </c>
    </row>
    <row r="41" spans="1:9" x14ac:dyDescent="0.25">
      <c r="A41" s="4" t="s">
        <v>10</v>
      </c>
      <c r="B41" s="11">
        <f>408636.05+20431.8+35755.65+1787.78</f>
        <v>466611.28</v>
      </c>
      <c r="C41" s="11">
        <v>0</v>
      </c>
      <c r="D41" s="11">
        <f>D40+B41-C41</f>
        <v>466611.28</v>
      </c>
      <c r="E41" s="1"/>
      <c r="F41" s="4" t="s">
        <v>10</v>
      </c>
      <c r="G41" s="11">
        <v>162536.69</v>
      </c>
      <c r="H41" s="11">
        <v>0</v>
      </c>
      <c r="I41" s="11">
        <f>I40+G41-H41</f>
        <v>162536.69</v>
      </c>
    </row>
    <row r="42" spans="1:9" x14ac:dyDescent="0.25">
      <c r="A42" s="4" t="s">
        <v>11</v>
      </c>
      <c r="B42" s="11">
        <f>404687.59+20234.38+35410.17+1770.51</f>
        <v>462102.65</v>
      </c>
      <c r="C42" s="11">
        <f>408636.05+20431.8</f>
        <v>429067.85</v>
      </c>
      <c r="D42" s="11">
        <f t="shared" ref="D42:D52" si="4">D41+B42-C42</f>
        <v>499646.08000000007</v>
      </c>
      <c r="E42" s="1"/>
      <c r="F42" s="4" t="s">
        <v>11</v>
      </c>
      <c r="G42" s="11">
        <v>167598.45000000001</v>
      </c>
      <c r="H42" s="11">
        <v>162536.69</v>
      </c>
      <c r="I42" s="11">
        <f t="shared" ref="I42:I52" si="5">I41+G42-H42</f>
        <v>167598.45000000001</v>
      </c>
    </row>
    <row r="43" spans="1:9" x14ac:dyDescent="0.25">
      <c r="A43" s="4" t="s">
        <v>12</v>
      </c>
      <c r="B43" s="11">
        <f>403307.53+20165.38+35289.41+1764.47</f>
        <v>460526.79000000004</v>
      </c>
      <c r="C43" s="11">
        <f>404687.59+20234.38</f>
        <v>424921.97000000003</v>
      </c>
      <c r="D43" s="11">
        <f t="shared" si="4"/>
        <v>535250.90000000014</v>
      </c>
      <c r="E43" s="1"/>
      <c r="F43" s="4" t="s">
        <v>12</v>
      </c>
      <c r="G43" s="11">
        <v>163652.72</v>
      </c>
      <c r="H43" s="11">
        <v>167598.45000000001</v>
      </c>
      <c r="I43" s="11">
        <f t="shared" si="5"/>
        <v>163652.72000000003</v>
      </c>
    </row>
    <row r="44" spans="1:9" x14ac:dyDescent="0.25">
      <c r="A44" s="4" t="s">
        <v>13</v>
      </c>
      <c r="B44" s="11">
        <f>398951.18+20184.98+35323.71+1766.18</f>
        <v>456226.05</v>
      </c>
      <c r="C44" s="11">
        <f>403307.53+20165.38</f>
        <v>423472.91000000003</v>
      </c>
      <c r="D44" s="11">
        <f t="shared" si="4"/>
        <v>568004.04000000015</v>
      </c>
      <c r="E44" s="1"/>
      <c r="F44" s="4" t="s">
        <v>13</v>
      </c>
      <c r="G44" s="11">
        <v>165329.06</v>
      </c>
      <c r="H44" s="11">
        <v>163652.72</v>
      </c>
      <c r="I44" s="11">
        <f t="shared" si="5"/>
        <v>165329.06000000003</v>
      </c>
    </row>
    <row r="45" spans="1:9" x14ac:dyDescent="0.25">
      <c r="A45" s="4" t="s">
        <v>14</v>
      </c>
      <c r="B45" s="11">
        <f>401703.04+20085.15+35149.01+1757.45</f>
        <v>458694.65</v>
      </c>
      <c r="C45" s="11">
        <f>398951.18+20184.98</f>
        <v>419136.16</v>
      </c>
      <c r="D45" s="11">
        <f t="shared" si="4"/>
        <v>607562.53000000026</v>
      </c>
      <c r="E45" s="1"/>
      <c r="F45" s="4" t="s">
        <v>14</v>
      </c>
      <c r="G45" s="11">
        <v>163669.53</v>
      </c>
      <c r="H45" s="11">
        <v>165329.06</v>
      </c>
      <c r="I45" s="11">
        <f t="shared" si="5"/>
        <v>163669.53000000003</v>
      </c>
    </row>
    <row r="46" spans="1:9" x14ac:dyDescent="0.25">
      <c r="A46" s="4" t="s">
        <v>15</v>
      </c>
      <c r="B46" s="11">
        <f>400979.5+20048.98+35085.71+1754.29</f>
        <v>457868.48</v>
      </c>
      <c r="C46" s="11">
        <f>401703.04+20085.15</f>
        <v>421788.19</v>
      </c>
      <c r="D46" s="11">
        <f t="shared" si="4"/>
        <v>643642.8200000003</v>
      </c>
      <c r="E46" s="1"/>
      <c r="F46" s="4" t="s">
        <v>15</v>
      </c>
      <c r="G46" s="11">
        <v>165929.42000000001</v>
      </c>
      <c r="H46" s="11">
        <v>163669.53</v>
      </c>
      <c r="I46" s="11">
        <f t="shared" si="5"/>
        <v>165929.42000000007</v>
      </c>
    </row>
    <row r="47" spans="1:9" x14ac:dyDescent="0.25">
      <c r="A47" s="4" t="s">
        <v>16</v>
      </c>
      <c r="B47" s="11">
        <f>389130.53+20084.21+35147.36+1757.36</f>
        <v>446119.46</v>
      </c>
      <c r="C47" s="11">
        <f>400979.5+20048.98</f>
        <v>421028.48</v>
      </c>
      <c r="D47" s="11">
        <f t="shared" si="4"/>
        <v>668733.80000000028</v>
      </c>
      <c r="E47" s="1"/>
      <c r="F47" s="4" t="s">
        <v>16</v>
      </c>
      <c r="G47" s="11">
        <v>166772.15</v>
      </c>
      <c r="H47" s="11">
        <v>165929.42000000001</v>
      </c>
      <c r="I47" s="11">
        <f t="shared" si="5"/>
        <v>166772.15000000005</v>
      </c>
    </row>
    <row r="48" spans="1:9" x14ac:dyDescent="0.25">
      <c r="A48" s="4" t="s">
        <v>17</v>
      </c>
      <c r="B48" s="11">
        <f>319500.51+20034.06+35059.61+1752.99</f>
        <v>376347.17</v>
      </c>
      <c r="C48" s="11">
        <f>389130.53+20084.21</f>
        <v>409214.74000000005</v>
      </c>
      <c r="D48" s="11">
        <f t="shared" si="4"/>
        <v>635866.23000000021</v>
      </c>
      <c r="E48" s="1"/>
      <c r="F48" s="4" t="s">
        <v>17</v>
      </c>
      <c r="G48" s="11">
        <v>165522.34</v>
      </c>
      <c r="H48" s="11">
        <v>166772.15</v>
      </c>
      <c r="I48" s="11">
        <f t="shared" si="5"/>
        <v>165522.34000000005</v>
      </c>
    </row>
    <row r="49" spans="1:9" x14ac:dyDescent="0.25">
      <c r="A49" s="4" t="s">
        <v>18</v>
      </c>
      <c r="B49" s="11">
        <f>400920.13+20046.01+35080.51+1754.03</f>
        <v>457800.68000000005</v>
      </c>
      <c r="C49" s="11">
        <f>319500.51+20034.06</f>
        <v>339534.57</v>
      </c>
      <c r="D49" s="11">
        <f t="shared" si="4"/>
        <v>754132.34000000008</v>
      </c>
      <c r="E49" s="1"/>
      <c r="F49" s="4" t="s">
        <v>18</v>
      </c>
      <c r="G49" s="11">
        <v>166860.84</v>
      </c>
      <c r="H49" s="11">
        <v>165522.34</v>
      </c>
      <c r="I49" s="11">
        <f t="shared" si="5"/>
        <v>166860.84000000005</v>
      </c>
    </row>
    <row r="50" spans="1:9" x14ac:dyDescent="0.25">
      <c r="A50" s="4" t="s">
        <v>19</v>
      </c>
      <c r="B50" s="11">
        <f>394025.05+20125.51+35219.65+1760.99</f>
        <v>451131.2</v>
      </c>
      <c r="C50" s="11">
        <f>400920.13+20046.01</f>
        <v>420966.14</v>
      </c>
      <c r="D50" s="11">
        <f t="shared" si="4"/>
        <v>784297.4</v>
      </c>
      <c r="E50" s="1"/>
      <c r="F50" s="4" t="s">
        <v>19</v>
      </c>
      <c r="G50" s="11">
        <v>165899.17000000001</v>
      </c>
      <c r="H50" s="11">
        <v>166860.84</v>
      </c>
      <c r="I50" s="11">
        <f t="shared" si="5"/>
        <v>165899.17000000007</v>
      </c>
    </row>
    <row r="51" spans="1:9" x14ac:dyDescent="0.25">
      <c r="A51" s="4" t="s">
        <v>20</v>
      </c>
      <c r="B51" s="11">
        <v>462067.18</v>
      </c>
      <c r="C51" s="11">
        <v>414166.98</v>
      </c>
      <c r="D51" s="11">
        <f t="shared" si="4"/>
        <v>832197.60000000009</v>
      </c>
      <c r="E51" s="1"/>
      <c r="F51" s="4" t="s">
        <v>20</v>
      </c>
      <c r="G51" s="11">
        <v>167738.17000000001</v>
      </c>
      <c r="H51" s="11">
        <v>166396.92000000001</v>
      </c>
      <c r="I51" s="11">
        <f t="shared" si="5"/>
        <v>167240.42000000007</v>
      </c>
    </row>
    <row r="52" spans="1:9" x14ac:dyDescent="0.25">
      <c r="A52" s="4" t="s">
        <v>21</v>
      </c>
      <c r="B52" s="11">
        <f>478270.81+23913.54+175.67+3513.62</f>
        <v>505873.63999999996</v>
      </c>
      <c r="C52" s="11">
        <f>404642.15+1561.55+20232.11+19572.03+391440.6</f>
        <v>837448.44</v>
      </c>
      <c r="D52" s="11">
        <f t="shared" si="4"/>
        <v>500622.80000000005</v>
      </c>
      <c r="E52" s="1"/>
      <c r="F52" s="4" t="s">
        <v>21</v>
      </c>
      <c r="G52" s="11">
        <f>338941.03</f>
        <v>338941.03</v>
      </c>
      <c r="H52" s="11">
        <f>167240.42+161433.35</f>
        <v>328673.77</v>
      </c>
      <c r="I52" s="11">
        <f t="shared" si="5"/>
        <v>177507.68000000005</v>
      </c>
    </row>
    <row r="53" spans="1:9" x14ac:dyDescent="0.25">
      <c r="A53" s="3" t="s">
        <v>22</v>
      </c>
      <c r="B53" s="9">
        <f>SUM(B41:B52)</f>
        <v>5461369.2299999995</v>
      </c>
      <c r="C53" s="9">
        <f>SUM(C42:C52)</f>
        <v>4960746.43</v>
      </c>
      <c r="D53" s="10">
        <f>B53-C53</f>
        <v>500622.79999999981</v>
      </c>
      <c r="E53" s="3"/>
      <c r="F53" s="3" t="s">
        <v>22</v>
      </c>
      <c r="G53" s="9">
        <f>SUM(G40:G52)</f>
        <v>2160449.5700000003</v>
      </c>
      <c r="H53" s="9">
        <f>SUM(H40:H52)</f>
        <v>1982941.8900000001</v>
      </c>
      <c r="I53" s="9">
        <f>G53-H53</f>
        <v>177507.68000000017</v>
      </c>
    </row>
    <row r="55" spans="1:9" x14ac:dyDescent="0.25">
      <c r="A55" s="12" t="s">
        <v>25</v>
      </c>
    </row>
    <row r="56" spans="1:9" x14ac:dyDescent="0.25">
      <c r="A56" t="s">
        <v>26</v>
      </c>
    </row>
  </sheetData>
  <mergeCells count="9">
    <mergeCell ref="A37:I37"/>
    <mergeCell ref="A38:D38"/>
    <mergeCell ref="F38:I38"/>
    <mergeCell ref="A1:I1"/>
    <mergeCell ref="A2:D2"/>
    <mergeCell ref="F2:I2"/>
    <mergeCell ref="A19:I19"/>
    <mergeCell ref="A20:D20"/>
    <mergeCell ref="F20:I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3" fitToHeight="0" orientation="portrait" r:id="rId1"/>
  <headerFooter>
    <oddHeader>&amp;C&amp;"-,Negrito"Poder Judiciário do Estado do RIO de Janeiro&amp;"-,Regular"
Diretoria Geral de Planejamento, Coordenação e Finanças
Departamento Contábil</oddHeader>
    <oddFooter>&amp;LElaborado por: Justino Henrique de Oliveira Freitas
Matrícula: 10/17.307&amp;RVisto por: Lúcio Pereira  Sousa
Matrícula: 10/17.261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5"/>
  <sheetViews>
    <sheetView workbookViewId="0">
      <selection activeCell="B4" sqref="B4"/>
    </sheetView>
  </sheetViews>
  <sheetFormatPr defaultRowHeight="15" x14ac:dyDescent="0.25"/>
  <cols>
    <col min="1" max="1" width="10.140625" bestFit="1" customWidth="1"/>
    <col min="2" max="4" width="16.85546875" bestFit="1" customWidth="1"/>
  </cols>
  <sheetData>
    <row r="2" spans="1:4" x14ac:dyDescent="0.25">
      <c r="A2" s="28" t="s">
        <v>27</v>
      </c>
      <c r="B2" s="28"/>
      <c r="C2" s="28"/>
      <c r="D2" s="28"/>
    </row>
    <row r="3" spans="1:4" ht="30" x14ac:dyDescent="0.25">
      <c r="A3" s="13" t="s">
        <v>28</v>
      </c>
      <c r="B3" s="13" t="s">
        <v>29</v>
      </c>
      <c r="C3" s="13" t="s">
        <v>30</v>
      </c>
      <c r="D3" s="13" t="s">
        <v>31</v>
      </c>
    </row>
    <row r="4" spans="1:4" x14ac:dyDescent="0.25">
      <c r="A4" s="4" t="s">
        <v>32</v>
      </c>
      <c r="B4" s="14">
        <v>108429.09</v>
      </c>
      <c r="C4" s="14">
        <v>131644.93</v>
      </c>
      <c r="D4" s="15">
        <f>B4+C4</f>
        <v>240074.02</v>
      </c>
    </row>
    <row r="5" spans="1:4" x14ac:dyDescent="0.25">
      <c r="A5" s="4" t="s">
        <v>33</v>
      </c>
      <c r="B5" s="14">
        <v>105175.67</v>
      </c>
      <c r="C5" s="14">
        <v>128147.84</v>
      </c>
      <c r="D5" s="15">
        <f t="shared" ref="D5:D15" si="0">B5+C5</f>
        <v>233323.51</v>
      </c>
    </row>
    <row r="6" spans="1:4" x14ac:dyDescent="0.25">
      <c r="A6" s="4" t="s">
        <v>34</v>
      </c>
      <c r="B6" s="14">
        <v>109160.62</v>
      </c>
      <c r="C6" s="14">
        <v>132497.72</v>
      </c>
      <c r="D6" s="15">
        <f t="shared" si="0"/>
        <v>241658.34</v>
      </c>
    </row>
    <row r="7" spans="1:4" x14ac:dyDescent="0.25">
      <c r="A7" s="4" t="s">
        <v>35</v>
      </c>
      <c r="B7" s="14">
        <v>109806.88</v>
      </c>
      <c r="C7" s="14">
        <v>132501.29999999999</v>
      </c>
      <c r="D7" s="15">
        <f t="shared" si="0"/>
        <v>242308.18</v>
      </c>
    </row>
    <row r="8" spans="1:4" x14ac:dyDescent="0.25">
      <c r="A8" s="4" t="s">
        <v>36</v>
      </c>
      <c r="B8" s="14">
        <v>111224.37</v>
      </c>
      <c r="C8" s="14">
        <v>133373.95000000001</v>
      </c>
      <c r="D8" s="15">
        <f t="shared" si="0"/>
        <v>244598.32</v>
      </c>
    </row>
    <row r="9" spans="1:4" x14ac:dyDescent="0.25">
      <c r="A9" s="4" t="s">
        <v>37</v>
      </c>
      <c r="B9" s="14">
        <v>113208.62</v>
      </c>
      <c r="C9" s="14">
        <v>136258.60999999999</v>
      </c>
      <c r="D9" s="15">
        <f t="shared" si="0"/>
        <v>249467.22999999998</v>
      </c>
    </row>
    <row r="10" spans="1:4" x14ac:dyDescent="0.25">
      <c r="A10" s="4" t="s">
        <v>38</v>
      </c>
      <c r="B10" s="14">
        <v>113520.51</v>
      </c>
      <c r="C10" s="14">
        <v>136857.32999999999</v>
      </c>
      <c r="D10" s="15">
        <f t="shared" si="0"/>
        <v>250377.83999999997</v>
      </c>
    </row>
    <row r="11" spans="1:4" x14ac:dyDescent="0.25">
      <c r="A11" s="4" t="s">
        <v>39</v>
      </c>
      <c r="B11" s="14">
        <v>115432.68000000001</v>
      </c>
      <c r="C11" s="14">
        <v>138489.57999999999</v>
      </c>
      <c r="D11" s="15">
        <f t="shared" si="0"/>
        <v>253922.26</v>
      </c>
    </row>
    <row r="12" spans="1:4" x14ac:dyDescent="0.25">
      <c r="A12" s="4" t="s">
        <v>40</v>
      </c>
      <c r="B12" s="14">
        <v>118545.3</v>
      </c>
      <c r="C12" s="14">
        <v>141108.41</v>
      </c>
      <c r="D12" s="15">
        <f t="shared" si="0"/>
        <v>259653.71000000002</v>
      </c>
    </row>
    <row r="13" spans="1:4" x14ac:dyDescent="0.25">
      <c r="A13" s="4" t="s">
        <v>41</v>
      </c>
      <c r="B13" s="14">
        <v>117246.51000000001</v>
      </c>
      <c r="C13" s="14">
        <v>140427.66</v>
      </c>
      <c r="D13" s="15">
        <f t="shared" si="0"/>
        <v>257674.17</v>
      </c>
    </row>
    <row r="14" spans="1:4" x14ac:dyDescent="0.25">
      <c r="A14" s="4" t="s">
        <v>42</v>
      </c>
      <c r="B14" s="14">
        <f>'2018 - Analítico'!B15</f>
        <v>118606.46999999999</v>
      </c>
      <c r="C14" s="14">
        <f>'2018 - Analítico'!G15</f>
        <v>141412.37</v>
      </c>
      <c r="D14" s="15">
        <f t="shared" si="0"/>
        <v>260018.83999999997</v>
      </c>
    </row>
    <row r="15" spans="1:4" x14ac:dyDescent="0.25">
      <c r="A15" s="4" t="s">
        <v>43</v>
      </c>
      <c r="B15" s="14">
        <f>'2018 - Analítico'!B16</f>
        <v>152683.76999999999</v>
      </c>
      <c r="C15" s="14">
        <f>'2018 - Analítico'!G16</f>
        <v>323516.01</v>
      </c>
      <c r="D15" s="15">
        <f t="shared" si="0"/>
        <v>476199.78</v>
      </c>
    </row>
    <row r="17" spans="1:4" x14ac:dyDescent="0.25">
      <c r="A17" s="28" t="s">
        <v>44</v>
      </c>
      <c r="B17" s="28"/>
      <c r="C17" s="28"/>
      <c r="D17" s="28"/>
    </row>
    <row r="18" spans="1:4" ht="30" x14ac:dyDescent="0.25">
      <c r="A18" s="13" t="s">
        <v>28</v>
      </c>
      <c r="B18" s="13" t="s">
        <v>29</v>
      </c>
      <c r="C18" s="13" t="s">
        <v>30</v>
      </c>
      <c r="D18" s="13" t="s">
        <v>31</v>
      </c>
    </row>
    <row r="19" spans="1:4" x14ac:dyDescent="0.25">
      <c r="A19" s="4" t="s">
        <v>32</v>
      </c>
      <c r="B19" s="14">
        <v>43786853.850000001</v>
      </c>
      <c r="C19" s="14">
        <v>19954881.400000002</v>
      </c>
      <c r="D19" s="15">
        <f>B19+C19</f>
        <v>63741735.25</v>
      </c>
    </row>
    <row r="20" spans="1:4" x14ac:dyDescent="0.25">
      <c r="A20" s="4" t="s">
        <v>33</v>
      </c>
      <c r="B20" s="14">
        <v>43979369.730000004</v>
      </c>
      <c r="C20" s="14">
        <v>19960684.68</v>
      </c>
      <c r="D20" s="15">
        <f t="shared" ref="D20:D30" si="1">B20+C20</f>
        <v>63940054.410000004</v>
      </c>
    </row>
    <row r="21" spans="1:4" x14ac:dyDescent="0.25">
      <c r="A21" s="4" t="s">
        <v>34</v>
      </c>
      <c r="B21" s="14">
        <v>43736265.380000003</v>
      </c>
      <c r="C21" s="14">
        <v>19844735.489999998</v>
      </c>
      <c r="D21" s="15">
        <f t="shared" si="1"/>
        <v>63581000.870000005</v>
      </c>
    </row>
    <row r="22" spans="1:4" x14ac:dyDescent="0.25">
      <c r="A22" s="4" t="s">
        <v>35</v>
      </c>
      <c r="B22" s="14">
        <v>43408606.810000002</v>
      </c>
      <c r="C22" s="14">
        <v>19692792.470000003</v>
      </c>
      <c r="D22" s="15">
        <f t="shared" si="1"/>
        <v>63101399.280000001</v>
      </c>
    </row>
    <row r="23" spans="1:4" x14ac:dyDescent="0.25">
      <c r="A23" s="4" t="s">
        <v>36</v>
      </c>
      <c r="B23" s="14">
        <v>43594335.530000001</v>
      </c>
      <c r="C23" s="14">
        <v>19774981.43</v>
      </c>
      <c r="D23" s="15">
        <f t="shared" si="1"/>
        <v>63369316.960000001</v>
      </c>
    </row>
    <row r="24" spans="1:4" x14ac:dyDescent="0.25">
      <c r="A24" s="4" t="s">
        <v>37</v>
      </c>
      <c r="B24" s="14">
        <v>43466888.060000002</v>
      </c>
      <c r="C24" s="14">
        <v>19716848.939999998</v>
      </c>
      <c r="D24" s="15">
        <f t="shared" si="1"/>
        <v>63183737</v>
      </c>
    </row>
    <row r="25" spans="1:4" x14ac:dyDescent="0.25">
      <c r="A25" s="4" t="s">
        <v>38</v>
      </c>
      <c r="B25" s="14">
        <v>43378663.669999994</v>
      </c>
      <c r="C25" s="14">
        <v>19677423.560000002</v>
      </c>
      <c r="D25" s="15">
        <f t="shared" si="1"/>
        <v>63056087.229999997</v>
      </c>
    </row>
    <row r="26" spans="1:4" x14ac:dyDescent="0.25">
      <c r="A26" s="4" t="s">
        <v>39</v>
      </c>
      <c r="B26" s="14">
        <v>43377469.719999999</v>
      </c>
      <c r="C26" s="14">
        <v>19674924.309999999</v>
      </c>
      <c r="D26" s="15">
        <f t="shared" si="1"/>
        <v>63052394.030000001</v>
      </c>
    </row>
    <row r="27" spans="1:4" x14ac:dyDescent="0.25">
      <c r="A27" s="4" t="s">
        <v>40</v>
      </c>
      <c r="B27" s="14">
        <v>43438069.390000001</v>
      </c>
      <c r="C27" s="14">
        <v>19698819.02</v>
      </c>
      <c r="D27" s="15">
        <f t="shared" si="1"/>
        <v>63136888.409999996</v>
      </c>
    </row>
    <row r="28" spans="1:4" x14ac:dyDescent="0.25">
      <c r="A28" s="4" t="s">
        <v>41</v>
      </c>
      <c r="B28" s="14">
        <v>43146795.870000005</v>
      </c>
      <c r="C28" s="14">
        <v>19568558.52</v>
      </c>
      <c r="D28" s="15">
        <f t="shared" si="1"/>
        <v>62715354.390000001</v>
      </c>
    </row>
    <row r="29" spans="1:4" x14ac:dyDescent="0.25">
      <c r="A29" s="4" t="s">
        <v>42</v>
      </c>
      <c r="B29" s="14">
        <f>'2018 - Analítico'!B33</f>
        <v>43159849.529999994</v>
      </c>
      <c r="C29" s="14">
        <f>'2018 - Analítico'!G33</f>
        <v>19574490.800000001</v>
      </c>
      <c r="D29" s="15">
        <f t="shared" si="1"/>
        <v>62734340.329999998</v>
      </c>
    </row>
    <row r="30" spans="1:4" x14ac:dyDescent="0.25">
      <c r="A30" s="4" t="s">
        <v>43</v>
      </c>
      <c r="B30" s="14">
        <f>'2018 - Analítico'!B34</f>
        <v>32334518.140000001</v>
      </c>
      <c r="C30" s="14">
        <f>'2018 - Analítico'!G34</f>
        <v>40280046.259999998</v>
      </c>
      <c r="D30" s="15">
        <f t="shared" si="1"/>
        <v>72614564.400000006</v>
      </c>
    </row>
    <row r="32" spans="1:4" x14ac:dyDescent="0.25">
      <c r="A32" s="28" t="s">
        <v>45</v>
      </c>
      <c r="B32" s="28"/>
      <c r="C32" s="28"/>
      <c r="D32" s="28"/>
    </row>
    <row r="33" spans="1:4" ht="30" x14ac:dyDescent="0.25">
      <c r="A33" s="13" t="s">
        <v>28</v>
      </c>
      <c r="B33" s="13" t="s">
        <v>29</v>
      </c>
      <c r="C33" s="13" t="s">
        <v>30</v>
      </c>
      <c r="D33" s="13" t="s">
        <v>31</v>
      </c>
    </row>
    <row r="34" spans="1:4" x14ac:dyDescent="0.25">
      <c r="A34" s="4" t="s">
        <v>32</v>
      </c>
      <c r="B34" s="14">
        <v>466611.28</v>
      </c>
      <c r="C34" s="14">
        <v>162536.69</v>
      </c>
      <c r="D34" s="15">
        <f>B34+C34</f>
        <v>629147.97</v>
      </c>
    </row>
    <row r="35" spans="1:4" x14ac:dyDescent="0.25">
      <c r="A35" s="4" t="s">
        <v>33</v>
      </c>
      <c r="B35" s="14">
        <v>462102.65</v>
      </c>
      <c r="C35" s="14">
        <v>167598.45000000001</v>
      </c>
      <c r="D35" s="15">
        <f t="shared" ref="D35:D45" si="2">B35+C35</f>
        <v>629701.10000000009</v>
      </c>
    </row>
    <row r="36" spans="1:4" x14ac:dyDescent="0.25">
      <c r="A36" s="4" t="s">
        <v>34</v>
      </c>
      <c r="B36" s="14">
        <v>460526.79000000004</v>
      </c>
      <c r="C36" s="14">
        <v>163652.72</v>
      </c>
      <c r="D36" s="15">
        <f t="shared" si="2"/>
        <v>624179.51</v>
      </c>
    </row>
    <row r="37" spans="1:4" x14ac:dyDescent="0.25">
      <c r="A37" s="4" t="s">
        <v>35</v>
      </c>
      <c r="B37" s="14">
        <v>456226.05</v>
      </c>
      <c r="C37" s="14">
        <v>165329.06</v>
      </c>
      <c r="D37" s="15">
        <f t="shared" si="2"/>
        <v>621555.11</v>
      </c>
    </row>
    <row r="38" spans="1:4" x14ac:dyDescent="0.25">
      <c r="A38" s="4" t="s">
        <v>36</v>
      </c>
      <c r="B38" s="14">
        <v>458694.65</v>
      </c>
      <c r="C38" s="14">
        <v>163669.53</v>
      </c>
      <c r="D38" s="15">
        <f t="shared" si="2"/>
        <v>622364.18000000005</v>
      </c>
    </row>
    <row r="39" spans="1:4" x14ac:dyDescent="0.25">
      <c r="A39" s="4" t="s">
        <v>37</v>
      </c>
      <c r="B39" s="14">
        <v>457868.48</v>
      </c>
      <c r="C39" s="14">
        <v>165929.42000000001</v>
      </c>
      <c r="D39" s="15">
        <f t="shared" si="2"/>
        <v>623797.9</v>
      </c>
    </row>
    <row r="40" spans="1:4" x14ac:dyDescent="0.25">
      <c r="A40" s="4" t="s">
        <v>38</v>
      </c>
      <c r="B40" s="14">
        <v>446119.46</v>
      </c>
      <c r="C40" s="14">
        <v>166772.15</v>
      </c>
      <c r="D40" s="15">
        <f t="shared" si="2"/>
        <v>612891.61</v>
      </c>
    </row>
    <row r="41" spans="1:4" x14ac:dyDescent="0.25">
      <c r="A41" s="4" t="s">
        <v>39</v>
      </c>
      <c r="B41" s="14">
        <v>376347.17</v>
      </c>
      <c r="C41" s="14">
        <v>165522.34</v>
      </c>
      <c r="D41" s="15">
        <f t="shared" si="2"/>
        <v>541869.51</v>
      </c>
    </row>
    <row r="42" spans="1:4" x14ac:dyDescent="0.25">
      <c r="A42" s="4" t="s">
        <v>40</v>
      </c>
      <c r="B42" s="14">
        <v>457800.68000000005</v>
      </c>
      <c r="C42" s="14">
        <v>166860.84</v>
      </c>
      <c r="D42" s="15">
        <f t="shared" si="2"/>
        <v>624661.52</v>
      </c>
    </row>
    <row r="43" spans="1:4" x14ac:dyDescent="0.25">
      <c r="A43" s="4" t="s">
        <v>41</v>
      </c>
      <c r="B43" s="14">
        <v>451131.2</v>
      </c>
      <c r="C43" s="14">
        <v>165899.17000000001</v>
      </c>
      <c r="D43" s="15">
        <f t="shared" si="2"/>
        <v>617030.37</v>
      </c>
    </row>
    <row r="44" spans="1:4" x14ac:dyDescent="0.25">
      <c r="A44" s="4" t="s">
        <v>42</v>
      </c>
      <c r="B44" s="14">
        <f>'2018 - Analítico'!B51</f>
        <v>462067.18</v>
      </c>
      <c r="C44" s="14">
        <f>'2018 - Analítico'!G51</f>
        <v>167738.17000000001</v>
      </c>
      <c r="D44" s="15">
        <f t="shared" si="2"/>
        <v>629805.35</v>
      </c>
    </row>
    <row r="45" spans="1:4" x14ac:dyDescent="0.25">
      <c r="A45" s="4" t="s">
        <v>43</v>
      </c>
      <c r="B45" s="14">
        <f>'2018 - Analítico'!B52</f>
        <v>505873.63999999996</v>
      </c>
      <c r="C45" s="14">
        <f>'2018 - Analítico'!G52</f>
        <v>338941.03</v>
      </c>
      <c r="D45" s="15">
        <f t="shared" si="2"/>
        <v>844814.66999999993</v>
      </c>
    </row>
  </sheetData>
  <mergeCells count="3">
    <mergeCell ref="A2:D2"/>
    <mergeCell ref="A17:D17"/>
    <mergeCell ref="A32:D3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G4" sqref="G4"/>
    </sheetView>
  </sheetViews>
  <sheetFormatPr defaultRowHeight="15" x14ac:dyDescent="0.25"/>
  <cols>
    <col min="1" max="1" width="10.42578125" bestFit="1" customWidth="1"/>
    <col min="2" max="2" width="16.85546875" bestFit="1" customWidth="1"/>
    <col min="3" max="4" width="18" bestFit="1" customWidth="1"/>
    <col min="5" max="5" width="1.42578125" customWidth="1"/>
    <col min="6" max="6" width="10.42578125" bestFit="1" customWidth="1"/>
    <col min="7" max="9" width="16.85546875" bestFit="1" customWidth="1"/>
    <col min="12" max="12" width="11.5703125" bestFit="1" customWidth="1"/>
  </cols>
  <sheetData>
    <row r="1" spans="1:9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8" t="s">
        <v>1</v>
      </c>
      <c r="B2" s="28"/>
      <c r="C2" s="28"/>
      <c r="D2" s="28"/>
      <c r="E2" s="2"/>
      <c r="F2" s="28" t="s">
        <v>2</v>
      </c>
      <c r="G2" s="28"/>
      <c r="H2" s="28"/>
      <c r="I2" s="28"/>
    </row>
    <row r="3" spans="1:9" x14ac:dyDescent="0.25">
      <c r="A3" s="6" t="s">
        <v>3</v>
      </c>
      <c r="B3" s="6" t="s">
        <v>4</v>
      </c>
      <c r="C3" s="6" t="s">
        <v>5</v>
      </c>
      <c r="D3" s="6" t="s">
        <v>6</v>
      </c>
      <c r="E3" s="7"/>
      <c r="F3" s="6" t="s">
        <v>3</v>
      </c>
      <c r="G3" s="6" t="s">
        <v>7</v>
      </c>
      <c r="H3" s="6" t="s">
        <v>8</v>
      </c>
      <c r="I3" s="6" t="s">
        <v>6</v>
      </c>
    </row>
    <row r="4" spans="1:9" x14ac:dyDescent="0.25">
      <c r="A4" s="4" t="s">
        <v>9</v>
      </c>
      <c r="B4" s="5"/>
      <c r="C4" s="5">
        <v>0</v>
      </c>
      <c r="D4" s="5">
        <f>B4-C4</f>
        <v>0</v>
      </c>
      <c r="E4" s="1"/>
      <c r="F4" s="4" t="s">
        <v>9</v>
      </c>
      <c r="G4" s="8"/>
      <c r="H4" s="8">
        <v>0</v>
      </c>
      <c r="I4" s="8">
        <f>G4-H4</f>
        <v>0</v>
      </c>
    </row>
    <row r="5" spans="1:9" x14ac:dyDescent="0.25">
      <c r="A5" s="4" t="s">
        <v>10</v>
      </c>
      <c r="B5" s="11"/>
      <c r="C5" s="11"/>
      <c r="D5" s="11">
        <f>B5-C5</f>
        <v>0</v>
      </c>
      <c r="E5" s="1"/>
      <c r="F5" s="4" t="s">
        <v>10</v>
      </c>
      <c r="G5" s="11"/>
      <c r="H5" s="11"/>
      <c r="I5" s="11">
        <f>I4+G5-H5</f>
        <v>0</v>
      </c>
    </row>
    <row r="6" spans="1:9" x14ac:dyDescent="0.25">
      <c r="A6" s="4" t="s">
        <v>11</v>
      </c>
      <c r="B6" s="11"/>
      <c r="C6" s="11"/>
      <c r="D6" s="11">
        <f t="shared" ref="D6:D16" si="0">D5+B6-C6</f>
        <v>0</v>
      </c>
      <c r="E6" s="1"/>
      <c r="F6" s="4" t="s">
        <v>11</v>
      </c>
      <c r="G6" s="11"/>
      <c r="H6" s="11"/>
      <c r="I6" s="11">
        <f t="shared" ref="I6:I16" si="1">I5+G6-H6</f>
        <v>0</v>
      </c>
    </row>
    <row r="7" spans="1:9" x14ac:dyDescent="0.25">
      <c r="A7" s="4" t="s">
        <v>12</v>
      </c>
      <c r="B7" s="11"/>
      <c r="C7" s="11"/>
      <c r="D7" s="11">
        <f t="shared" si="0"/>
        <v>0</v>
      </c>
      <c r="E7" s="1"/>
      <c r="F7" s="4" t="s">
        <v>12</v>
      </c>
      <c r="G7" s="11"/>
      <c r="H7" s="11"/>
      <c r="I7" s="11">
        <f t="shared" si="1"/>
        <v>0</v>
      </c>
    </row>
    <row r="8" spans="1:9" x14ac:dyDescent="0.25">
      <c r="A8" s="4" t="s">
        <v>13</v>
      </c>
      <c r="B8" s="11"/>
      <c r="C8" s="11"/>
      <c r="D8" s="11">
        <f t="shared" si="0"/>
        <v>0</v>
      </c>
      <c r="E8" s="1"/>
      <c r="F8" s="4" t="s">
        <v>13</v>
      </c>
      <c r="G8" s="11"/>
      <c r="H8" s="11"/>
      <c r="I8" s="11">
        <f t="shared" si="1"/>
        <v>0</v>
      </c>
    </row>
    <row r="9" spans="1:9" x14ac:dyDescent="0.25">
      <c r="A9" s="4" t="s">
        <v>14</v>
      </c>
      <c r="B9" s="11"/>
      <c r="C9" s="11"/>
      <c r="D9" s="11">
        <f t="shared" si="0"/>
        <v>0</v>
      </c>
      <c r="E9" s="1"/>
      <c r="F9" s="4" t="s">
        <v>14</v>
      </c>
      <c r="G9" s="11"/>
      <c r="H9" s="11"/>
      <c r="I9" s="11">
        <f t="shared" si="1"/>
        <v>0</v>
      </c>
    </row>
    <row r="10" spans="1:9" x14ac:dyDescent="0.25">
      <c r="A10" s="4" t="s">
        <v>15</v>
      </c>
      <c r="B10" s="11"/>
      <c r="C10" s="11"/>
      <c r="D10" s="11">
        <f t="shared" si="0"/>
        <v>0</v>
      </c>
      <c r="E10" s="1"/>
      <c r="F10" s="4" t="s">
        <v>15</v>
      </c>
      <c r="G10" s="11"/>
      <c r="H10" s="11"/>
      <c r="I10" s="11">
        <f t="shared" si="1"/>
        <v>0</v>
      </c>
    </row>
    <row r="11" spans="1:9" x14ac:dyDescent="0.25">
      <c r="A11" s="4" t="s">
        <v>16</v>
      </c>
      <c r="B11" s="11"/>
      <c r="C11" s="11"/>
      <c r="D11" s="11">
        <f t="shared" si="0"/>
        <v>0</v>
      </c>
      <c r="E11" s="1"/>
      <c r="F11" s="4" t="s">
        <v>16</v>
      </c>
      <c r="G11" s="11"/>
      <c r="H11" s="11"/>
      <c r="I11" s="11">
        <f t="shared" si="1"/>
        <v>0</v>
      </c>
    </row>
    <row r="12" spans="1:9" x14ac:dyDescent="0.25">
      <c r="A12" s="4" t="s">
        <v>17</v>
      </c>
      <c r="B12" s="11"/>
      <c r="C12" s="11"/>
      <c r="D12" s="11">
        <f t="shared" si="0"/>
        <v>0</v>
      </c>
      <c r="E12" s="1"/>
      <c r="F12" s="4" t="s">
        <v>17</v>
      </c>
      <c r="G12" s="11"/>
      <c r="H12" s="11"/>
      <c r="I12" s="11">
        <f t="shared" si="1"/>
        <v>0</v>
      </c>
    </row>
    <row r="13" spans="1:9" x14ac:dyDescent="0.25">
      <c r="A13" s="4" t="s">
        <v>18</v>
      </c>
      <c r="B13" s="11"/>
      <c r="C13" s="11"/>
      <c r="D13" s="11">
        <f t="shared" si="0"/>
        <v>0</v>
      </c>
      <c r="E13" s="1"/>
      <c r="F13" s="4" t="s">
        <v>18</v>
      </c>
      <c r="G13" s="11"/>
      <c r="H13" s="11"/>
      <c r="I13" s="11">
        <f t="shared" si="1"/>
        <v>0</v>
      </c>
    </row>
    <row r="14" spans="1:9" x14ac:dyDescent="0.25">
      <c r="A14" s="4" t="s">
        <v>19</v>
      </c>
      <c r="B14" s="11"/>
      <c r="C14" s="11"/>
      <c r="D14" s="11">
        <f t="shared" si="0"/>
        <v>0</v>
      </c>
      <c r="E14" s="1"/>
      <c r="F14" s="4" t="s">
        <v>19</v>
      </c>
      <c r="G14" s="11"/>
      <c r="H14" s="11"/>
      <c r="I14" s="11">
        <f t="shared" si="1"/>
        <v>0</v>
      </c>
    </row>
    <row r="15" spans="1:9" x14ac:dyDescent="0.25">
      <c r="A15" s="4" t="s">
        <v>20</v>
      </c>
      <c r="B15" s="14"/>
      <c r="C15" s="11"/>
      <c r="D15" s="11">
        <f t="shared" si="0"/>
        <v>0</v>
      </c>
      <c r="E15" s="1"/>
      <c r="F15" s="4" t="s">
        <v>20</v>
      </c>
      <c r="G15" s="11"/>
      <c r="H15" s="11"/>
      <c r="I15" s="11">
        <f t="shared" si="1"/>
        <v>0</v>
      </c>
    </row>
    <row r="16" spans="1:9" x14ac:dyDescent="0.25">
      <c r="A16" s="4" t="s">
        <v>21</v>
      </c>
      <c r="B16" s="14"/>
      <c r="C16" s="11"/>
      <c r="D16" s="11">
        <f t="shared" si="0"/>
        <v>0</v>
      </c>
      <c r="E16" s="1"/>
      <c r="F16" s="4" t="s">
        <v>21</v>
      </c>
      <c r="G16" s="11"/>
      <c r="H16" s="11"/>
      <c r="I16" s="11">
        <f t="shared" si="1"/>
        <v>0</v>
      </c>
    </row>
    <row r="17" spans="1:12" x14ac:dyDescent="0.25">
      <c r="A17" s="3" t="s">
        <v>22</v>
      </c>
      <c r="B17" s="9">
        <f>SUM(B4:B16)</f>
        <v>0</v>
      </c>
      <c r="C17" s="9">
        <f>SUM(C4:C16)</f>
        <v>0</v>
      </c>
      <c r="D17" s="9">
        <f>B17-C17</f>
        <v>0</v>
      </c>
      <c r="E17" s="3"/>
      <c r="F17" s="3" t="s">
        <v>22</v>
      </c>
      <c r="G17" s="9">
        <f>SUM(G4:G16)</f>
        <v>0</v>
      </c>
      <c r="H17" s="9">
        <f>SUM(H4:H16)</f>
        <v>0</v>
      </c>
      <c r="I17" s="9">
        <f>G17-H17</f>
        <v>0</v>
      </c>
      <c r="L17" s="17"/>
    </row>
    <row r="19" spans="1:12" x14ac:dyDescent="0.25">
      <c r="A19" s="28" t="s">
        <v>23</v>
      </c>
      <c r="B19" s="28"/>
      <c r="C19" s="28"/>
      <c r="D19" s="28"/>
      <c r="E19" s="28"/>
      <c r="F19" s="28"/>
      <c r="G19" s="28"/>
      <c r="H19" s="28"/>
      <c r="I19" s="28"/>
    </row>
    <row r="20" spans="1:12" x14ac:dyDescent="0.25">
      <c r="A20" s="28" t="s">
        <v>1</v>
      </c>
      <c r="B20" s="28"/>
      <c r="C20" s="28"/>
      <c r="D20" s="28"/>
      <c r="E20" s="2"/>
      <c r="F20" s="28" t="s">
        <v>2</v>
      </c>
      <c r="G20" s="28"/>
      <c r="H20" s="28"/>
      <c r="I20" s="28"/>
    </row>
    <row r="21" spans="1:12" x14ac:dyDescent="0.25">
      <c r="A21" s="3" t="s">
        <v>3</v>
      </c>
      <c r="B21" s="6" t="s">
        <v>4</v>
      </c>
      <c r="C21" s="6" t="s">
        <v>5</v>
      </c>
      <c r="D21" s="3" t="s">
        <v>6</v>
      </c>
      <c r="E21" s="1"/>
      <c r="F21" s="3" t="s">
        <v>3</v>
      </c>
      <c r="G21" s="6" t="s">
        <v>4</v>
      </c>
      <c r="H21" s="6" t="s">
        <v>5</v>
      </c>
      <c r="I21" s="3" t="s">
        <v>6</v>
      </c>
    </row>
    <row r="22" spans="1:12" x14ac:dyDescent="0.25">
      <c r="A22" s="4" t="s">
        <v>9</v>
      </c>
      <c r="B22" s="11"/>
      <c r="C22" s="11"/>
      <c r="D22" s="11">
        <f>B22-C22</f>
        <v>0</v>
      </c>
      <c r="E22" s="1"/>
      <c r="F22" s="4" t="s">
        <v>9</v>
      </c>
      <c r="G22" s="8"/>
      <c r="H22" s="8"/>
      <c r="I22" s="8">
        <f>G22-H22</f>
        <v>0</v>
      </c>
    </row>
    <row r="23" spans="1:12" x14ac:dyDescent="0.25">
      <c r="A23" s="4" t="s">
        <v>10</v>
      </c>
      <c r="B23" s="11"/>
      <c r="C23" s="11"/>
      <c r="D23" s="11">
        <f>D22+B23-C23</f>
        <v>0</v>
      </c>
      <c r="E23" s="1"/>
      <c r="F23" s="4" t="s">
        <v>10</v>
      </c>
      <c r="G23" s="11"/>
      <c r="H23" s="11"/>
      <c r="I23" s="11">
        <f>I22+G23-H23</f>
        <v>0</v>
      </c>
    </row>
    <row r="24" spans="1:12" x14ac:dyDescent="0.25">
      <c r="A24" s="4" t="s">
        <v>11</v>
      </c>
      <c r="B24" s="11"/>
      <c r="C24" s="11"/>
      <c r="D24" s="11">
        <f t="shared" ref="D24:D34" si="2">D23+B24-C24</f>
        <v>0</v>
      </c>
      <c r="E24" s="1"/>
      <c r="F24" s="4" t="s">
        <v>11</v>
      </c>
      <c r="G24" s="11"/>
      <c r="H24" s="11"/>
      <c r="I24" s="11">
        <f t="shared" ref="I24:I34" si="3">I23+G24-H24</f>
        <v>0</v>
      </c>
    </row>
    <row r="25" spans="1:12" x14ac:dyDescent="0.25">
      <c r="A25" s="4" t="s">
        <v>12</v>
      </c>
      <c r="B25" s="11"/>
      <c r="C25" s="11"/>
      <c r="D25" s="11">
        <f t="shared" si="2"/>
        <v>0</v>
      </c>
      <c r="E25" s="1"/>
      <c r="F25" s="4" t="s">
        <v>12</v>
      </c>
      <c r="G25" s="11"/>
      <c r="H25" s="11"/>
      <c r="I25" s="11">
        <f t="shared" si="3"/>
        <v>0</v>
      </c>
    </row>
    <row r="26" spans="1:12" x14ac:dyDescent="0.25">
      <c r="A26" s="4" t="s">
        <v>13</v>
      </c>
      <c r="B26" s="11"/>
      <c r="C26" s="11"/>
      <c r="D26" s="11">
        <f t="shared" si="2"/>
        <v>0</v>
      </c>
      <c r="E26" s="1"/>
      <c r="F26" s="4" t="s">
        <v>13</v>
      </c>
      <c r="G26" s="11"/>
      <c r="H26" s="11"/>
      <c r="I26" s="11">
        <f t="shared" si="3"/>
        <v>0</v>
      </c>
    </row>
    <row r="27" spans="1:12" x14ac:dyDescent="0.25">
      <c r="A27" s="4" t="s">
        <v>14</v>
      </c>
      <c r="B27" s="11"/>
      <c r="C27" s="11"/>
      <c r="D27" s="11">
        <f t="shared" si="2"/>
        <v>0</v>
      </c>
      <c r="E27" s="1"/>
      <c r="F27" s="4" t="s">
        <v>14</v>
      </c>
      <c r="G27" s="11"/>
      <c r="H27" s="11"/>
      <c r="I27" s="11">
        <f t="shared" si="3"/>
        <v>0</v>
      </c>
    </row>
    <row r="28" spans="1:12" x14ac:dyDescent="0.25">
      <c r="A28" s="4" t="s">
        <v>15</v>
      </c>
      <c r="B28" s="11"/>
      <c r="C28" s="11"/>
      <c r="D28" s="11">
        <f t="shared" si="2"/>
        <v>0</v>
      </c>
      <c r="E28" s="1"/>
      <c r="F28" s="4" t="s">
        <v>15</v>
      </c>
      <c r="G28" s="11"/>
      <c r="H28" s="11"/>
      <c r="I28" s="11">
        <f t="shared" si="3"/>
        <v>0</v>
      </c>
    </row>
    <row r="29" spans="1:12" x14ac:dyDescent="0.25">
      <c r="A29" s="4" t="s">
        <v>16</v>
      </c>
      <c r="B29" s="11"/>
      <c r="C29" s="11"/>
      <c r="D29" s="11">
        <f t="shared" si="2"/>
        <v>0</v>
      </c>
      <c r="E29" s="1"/>
      <c r="F29" s="4" t="s">
        <v>16</v>
      </c>
      <c r="G29" s="11"/>
      <c r="H29" s="11"/>
      <c r="I29" s="11">
        <f t="shared" si="3"/>
        <v>0</v>
      </c>
    </row>
    <row r="30" spans="1:12" x14ac:dyDescent="0.25">
      <c r="A30" s="4" t="s">
        <v>17</v>
      </c>
      <c r="B30" s="11"/>
      <c r="C30" s="11"/>
      <c r="D30" s="11">
        <f t="shared" si="2"/>
        <v>0</v>
      </c>
      <c r="E30" s="1"/>
      <c r="F30" s="4" t="s">
        <v>17</v>
      </c>
      <c r="G30" s="11"/>
      <c r="H30" s="11"/>
      <c r="I30" s="11">
        <f t="shared" si="3"/>
        <v>0</v>
      </c>
    </row>
    <row r="31" spans="1:12" x14ac:dyDescent="0.25">
      <c r="A31" s="4" t="s">
        <v>18</v>
      </c>
      <c r="B31" s="11"/>
      <c r="C31" s="11"/>
      <c r="D31" s="11">
        <f t="shared" si="2"/>
        <v>0</v>
      </c>
      <c r="E31" s="1"/>
      <c r="F31" s="4" t="s">
        <v>18</v>
      </c>
      <c r="G31" s="11"/>
      <c r="H31" s="11"/>
      <c r="I31" s="11">
        <f t="shared" si="3"/>
        <v>0</v>
      </c>
    </row>
    <row r="32" spans="1:12" x14ac:dyDescent="0.25">
      <c r="A32" s="4" t="s">
        <v>19</v>
      </c>
      <c r="B32" s="11"/>
      <c r="C32" s="11"/>
      <c r="D32" s="11">
        <f t="shared" si="2"/>
        <v>0</v>
      </c>
      <c r="E32" s="1"/>
      <c r="F32" s="4" t="s">
        <v>19</v>
      </c>
      <c r="G32" s="11"/>
      <c r="H32" s="11"/>
      <c r="I32" s="11">
        <f t="shared" si="3"/>
        <v>0</v>
      </c>
    </row>
    <row r="33" spans="1:9" x14ac:dyDescent="0.25">
      <c r="A33" s="4" t="s">
        <v>20</v>
      </c>
      <c r="B33" s="16"/>
      <c r="C33" s="11"/>
      <c r="D33" s="11">
        <f t="shared" si="2"/>
        <v>0</v>
      </c>
      <c r="E33" s="1"/>
      <c r="F33" s="4" t="s">
        <v>20</v>
      </c>
      <c r="G33" s="11"/>
      <c r="H33" s="11"/>
      <c r="I33" s="11">
        <f t="shared" si="3"/>
        <v>0</v>
      </c>
    </row>
    <row r="34" spans="1:9" x14ac:dyDescent="0.25">
      <c r="A34" s="4" t="s">
        <v>21</v>
      </c>
      <c r="B34" s="16"/>
      <c r="C34" s="11"/>
      <c r="D34" s="11">
        <f t="shared" si="2"/>
        <v>0</v>
      </c>
      <c r="E34" s="1"/>
      <c r="F34" s="4" t="s">
        <v>21</v>
      </c>
      <c r="G34" s="11"/>
      <c r="H34" s="11"/>
      <c r="I34" s="11">
        <f t="shared" si="3"/>
        <v>0</v>
      </c>
    </row>
    <row r="35" spans="1:9" x14ac:dyDescent="0.25">
      <c r="A35" s="3" t="s">
        <v>22</v>
      </c>
      <c r="B35" s="9">
        <f>SUM(B22:B34)</f>
        <v>0</v>
      </c>
      <c r="C35" s="9">
        <f>SUM(C22:C34)</f>
        <v>0</v>
      </c>
      <c r="D35" s="9">
        <f>B35-C35</f>
        <v>0</v>
      </c>
      <c r="E35" s="3"/>
      <c r="F35" s="3" t="s">
        <v>22</v>
      </c>
      <c r="G35" s="9">
        <f>SUM(G22:G34)</f>
        <v>0</v>
      </c>
      <c r="H35" s="9">
        <f>SUM(H22:H34)</f>
        <v>0</v>
      </c>
      <c r="I35" s="9">
        <f>G35-H35</f>
        <v>0</v>
      </c>
    </row>
    <row r="37" spans="1:9" x14ac:dyDescent="0.25">
      <c r="A37" s="28" t="s">
        <v>24</v>
      </c>
      <c r="B37" s="28"/>
      <c r="C37" s="28"/>
      <c r="D37" s="28"/>
      <c r="E37" s="28"/>
      <c r="F37" s="28"/>
      <c r="G37" s="28"/>
      <c r="H37" s="28"/>
      <c r="I37" s="28"/>
    </row>
    <row r="38" spans="1:9" x14ac:dyDescent="0.25">
      <c r="A38" s="28" t="s">
        <v>1</v>
      </c>
      <c r="B38" s="28"/>
      <c r="C38" s="28"/>
      <c r="D38" s="28"/>
      <c r="E38" s="2"/>
      <c r="F38" s="28" t="s">
        <v>2</v>
      </c>
      <c r="G38" s="28"/>
      <c r="H38" s="28"/>
      <c r="I38" s="28"/>
    </row>
    <row r="39" spans="1:9" x14ac:dyDescent="0.25">
      <c r="A39" s="3" t="s">
        <v>3</v>
      </c>
      <c r="B39" s="6" t="s">
        <v>4</v>
      </c>
      <c r="C39" s="6" t="s">
        <v>5</v>
      </c>
      <c r="D39" s="3" t="s">
        <v>6</v>
      </c>
      <c r="E39" s="1"/>
      <c r="F39" s="3" t="s">
        <v>3</v>
      </c>
      <c r="G39" s="6" t="s">
        <v>4</v>
      </c>
      <c r="H39" s="6" t="s">
        <v>5</v>
      </c>
      <c r="I39" s="3" t="s">
        <v>6</v>
      </c>
    </row>
    <row r="40" spans="1:9" x14ac:dyDescent="0.25">
      <c r="A40" s="4" t="s">
        <v>9</v>
      </c>
      <c r="B40" s="5"/>
      <c r="C40" s="5"/>
      <c r="D40" s="5">
        <f>B40-C40</f>
        <v>0</v>
      </c>
      <c r="E40" s="1"/>
      <c r="F40" s="4" t="s">
        <v>9</v>
      </c>
      <c r="G40" s="8">
        <v>0</v>
      </c>
      <c r="H40" s="8">
        <v>0</v>
      </c>
      <c r="I40" s="8">
        <f>G40-H40</f>
        <v>0</v>
      </c>
    </row>
    <row r="41" spans="1:9" x14ac:dyDescent="0.25">
      <c r="A41" s="4" t="s">
        <v>10</v>
      </c>
      <c r="B41" s="11"/>
      <c r="C41" s="11"/>
      <c r="D41" s="11">
        <f>D40+B41-C41</f>
        <v>0</v>
      </c>
      <c r="E41" s="1"/>
      <c r="F41" s="4" t="s">
        <v>10</v>
      </c>
      <c r="G41" s="11"/>
      <c r="H41" s="11"/>
      <c r="I41" s="11">
        <f>I40+G41-H41</f>
        <v>0</v>
      </c>
    </row>
    <row r="42" spans="1:9" x14ac:dyDescent="0.25">
      <c r="A42" s="4" t="s">
        <v>11</v>
      </c>
      <c r="B42" s="11"/>
      <c r="C42" s="11"/>
      <c r="D42" s="11">
        <f t="shared" ref="D42:D52" si="4">D41+B42-C42</f>
        <v>0</v>
      </c>
      <c r="E42" s="1"/>
      <c r="F42" s="4" t="s">
        <v>11</v>
      </c>
      <c r="G42" s="11"/>
      <c r="H42" s="11"/>
      <c r="I42" s="11">
        <f t="shared" ref="I42:I52" si="5">I41+G42-H42</f>
        <v>0</v>
      </c>
    </row>
    <row r="43" spans="1:9" x14ac:dyDescent="0.25">
      <c r="A43" s="4" t="s">
        <v>12</v>
      </c>
      <c r="B43" s="11"/>
      <c r="C43" s="11"/>
      <c r="D43" s="11">
        <f t="shared" si="4"/>
        <v>0</v>
      </c>
      <c r="E43" s="1"/>
      <c r="F43" s="4" t="s">
        <v>12</v>
      </c>
      <c r="G43" s="11"/>
      <c r="H43" s="11"/>
      <c r="I43" s="11">
        <f t="shared" si="5"/>
        <v>0</v>
      </c>
    </row>
    <row r="44" spans="1:9" x14ac:dyDescent="0.25">
      <c r="A44" s="4" t="s">
        <v>13</v>
      </c>
      <c r="B44" s="11"/>
      <c r="C44" s="11"/>
      <c r="D44" s="11">
        <f t="shared" si="4"/>
        <v>0</v>
      </c>
      <c r="E44" s="1"/>
      <c r="F44" s="4" t="s">
        <v>13</v>
      </c>
      <c r="G44" s="11"/>
      <c r="H44" s="11"/>
      <c r="I44" s="11">
        <f t="shared" si="5"/>
        <v>0</v>
      </c>
    </row>
    <row r="45" spans="1:9" x14ac:dyDescent="0.25">
      <c r="A45" s="4" t="s">
        <v>14</v>
      </c>
      <c r="B45" s="11"/>
      <c r="C45" s="11"/>
      <c r="D45" s="11">
        <f t="shared" si="4"/>
        <v>0</v>
      </c>
      <c r="E45" s="1"/>
      <c r="F45" s="4" t="s">
        <v>14</v>
      </c>
      <c r="G45" s="11"/>
      <c r="H45" s="11"/>
      <c r="I45" s="11">
        <f t="shared" si="5"/>
        <v>0</v>
      </c>
    </row>
    <row r="46" spans="1:9" x14ac:dyDescent="0.25">
      <c r="A46" s="4" t="s">
        <v>15</v>
      </c>
      <c r="B46" s="11"/>
      <c r="C46" s="11"/>
      <c r="D46" s="11">
        <f t="shared" si="4"/>
        <v>0</v>
      </c>
      <c r="E46" s="1"/>
      <c r="F46" s="4" t="s">
        <v>15</v>
      </c>
      <c r="G46" s="11"/>
      <c r="H46" s="11"/>
      <c r="I46" s="11">
        <f t="shared" si="5"/>
        <v>0</v>
      </c>
    </row>
    <row r="47" spans="1:9" x14ac:dyDescent="0.25">
      <c r="A47" s="4" t="s">
        <v>16</v>
      </c>
      <c r="B47" s="11"/>
      <c r="C47" s="11"/>
      <c r="D47" s="11">
        <f t="shared" si="4"/>
        <v>0</v>
      </c>
      <c r="E47" s="1"/>
      <c r="F47" s="4" t="s">
        <v>16</v>
      </c>
      <c r="G47" s="11"/>
      <c r="H47" s="11"/>
      <c r="I47" s="11">
        <f t="shared" si="5"/>
        <v>0</v>
      </c>
    </row>
    <row r="48" spans="1:9" x14ac:dyDescent="0.25">
      <c r="A48" s="4" t="s">
        <v>17</v>
      </c>
      <c r="B48" s="11"/>
      <c r="C48" s="11"/>
      <c r="D48" s="11">
        <f t="shared" si="4"/>
        <v>0</v>
      </c>
      <c r="E48" s="1"/>
      <c r="F48" s="4" t="s">
        <v>17</v>
      </c>
      <c r="G48" s="11"/>
      <c r="H48" s="11"/>
      <c r="I48" s="11">
        <f t="shared" si="5"/>
        <v>0</v>
      </c>
    </row>
    <row r="49" spans="1:9" x14ac:dyDescent="0.25">
      <c r="A49" s="4" t="s">
        <v>18</v>
      </c>
      <c r="B49" s="11"/>
      <c r="C49" s="11"/>
      <c r="D49" s="11">
        <f t="shared" si="4"/>
        <v>0</v>
      </c>
      <c r="E49" s="1"/>
      <c r="F49" s="4" t="s">
        <v>18</v>
      </c>
      <c r="G49" s="11"/>
      <c r="H49" s="11"/>
      <c r="I49" s="11">
        <f t="shared" si="5"/>
        <v>0</v>
      </c>
    </row>
    <row r="50" spans="1:9" x14ac:dyDescent="0.25">
      <c r="A50" s="4" t="s">
        <v>19</v>
      </c>
      <c r="B50" s="11"/>
      <c r="C50" s="11"/>
      <c r="D50" s="11">
        <f t="shared" si="4"/>
        <v>0</v>
      </c>
      <c r="E50" s="1"/>
      <c r="F50" s="4" t="s">
        <v>19</v>
      </c>
      <c r="G50" s="11"/>
      <c r="H50" s="11"/>
      <c r="I50" s="11">
        <f t="shared" si="5"/>
        <v>0</v>
      </c>
    </row>
    <row r="51" spans="1:9" x14ac:dyDescent="0.25">
      <c r="A51" s="4" t="s">
        <v>20</v>
      </c>
      <c r="B51" s="11"/>
      <c r="C51" s="11"/>
      <c r="D51" s="11">
        <f t="shared" si="4"/>
        <v>0</v>
      </c>
      <c r="E51" s="1"/>
      <c r="F51" s="4" t="s">
        <v>20</v>
      </c>
      <c r="G51" s="11"/>
      <c r="H51" s="11"/>
      <c r="I51" s="11">
        <f t="shared" si="5"/>
        <v>0</v>
      </c>
    </row>
    <row r="52" spans="1:9" x14ac:dyDescent="0.25">
      <c r="A52" s="4" t="s">
        <v>21</v>
      </c>
      <c r="B52" s="11"/>
      <c r="C52" s="11"/>
      <c r="D52" s="11">
        <f t="shared" si="4"/>
        <v>0</v>
      </c>
      <c r="E52" s="1"/>
      <c r="F52" s="4" t="s">
        <v>21</v>
      </c>
      <c r="G52" s="11"/>
      <c r="H52" s="11"/>
      <c r="I52" s="11">
        <f t="shared" si="5"/>
        <v>0</v>
      </c>
    </row>
    <row r="53" spans="1:9" x14ac:dyDescent="0.25">
      <c r="A53" s="3" t="s">
        <v>22</v>
      </c>
      <c r="B53" s="9">
        <f>SUM(B41:B52)</f>
        <v>0</v>
      </c>
      <c r="C53" s="9">
        <f>SUM(C42:C52)</f>
        <v>0</v>
      </c>
      <c r="D53" s="10">
        <f>B53-C53</f>
        <v>0</v>
      </c>
      <c r="E53" s="3"/>
      <c r="F53" s="3" t="s">
        <v>22</v>
      </c>
      <c r="G53" s="9">
        <f>SUM(G40:G52)</f>
        <v>0</v>
      </c>
      <c r="H53" s="9">
        <f>SUM(H40:H52)</f>
        <v>0</v>
      </c>
      <c r="I53" s="9">
        <f>G53-H53</f>
        <v>0</v>
      </c>
    </row>
    <row r="55" spans="1:9" x14ac:dyDescent="0.25">
      <c r="A55" s="12" t="s">
        <v>25</v>
      </c>
    </row>
    <row r="56" spans="1:9" x14ac:dyDescent="0.25">
      <c r="A56" t="s">
        <v>26</v>
      </c>
    </row>
  </sheetData>
  <mergeCells count="9">
    <mergeCell ref="A37:I37"/>
    <mergeCell ref="A38:D38"/>
    <mergeCell ref="F38:I38"/>
    <mergeCell ref="A1:I1"/>
    <mergeCell ref="A2:D2"/>
    <mergeCell ref="F2:I2"/>
    <mergeCell ref="A19:I19"/>
    <mergeCell ref="A20:D20"/>
    <mergeCell ref="F20:I2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45"/>
  <sheetViews>
    <sheetView workbookViewId="0">
      <selection activeCell="G33" sqref="G33:Q43"/>
    </sheetView>
  </sheetViews>
  <sheetFormatPr defaultRowHeight="15" x14ac:dyDescent="0.25"/>
  <cols>
    <col min="1" max="1" width="10.140625" style="19" bestFit="1" customWidth="1"/>
    <col min="2" max="3" width="16.85546875" style="19" bestFit="1" customWidth="1"/>
    <col min="4" max="4" width="18" style="19" bestFit="1" customWidth="1"/>
    <col min="5" max="5" width="9.140625" style="19"/>
    <col min="6" max="6" width="10" style="19" bestFit="1" customWidth="1"/>
    <col min="7" max="7" width="14.28515625" style="19" bestFit="1" customWidth="1"/>
    <col min="8" max="8" width="11.5703125" style="19" bestFit="1" customWidth="1"/>
    <col min="9" max="9" width="10" style="19" bestFit="1" customWidth="1"/>
    <col min="10" max="10" width="14.28515625" style="19" bestFit="1" customWidth="1"/>
    <col min="11" max="11" width="11.5703125" style="19" bestFit="1" customWidth="1"/>
    <col min="12" max="13" width="9.140625" style="19"/>
    <col min="14" max="14" width="13.28515625" style="19" bestFit="1" customWidth="1"/>
    <col min="15" max="16384" width="9.140625" style="19"/>
  </cols>
  <sheetData>
    <row r="2" spans="1:10" x14ac:dyDescent="0.25">
      <c r="A2" s="29" t="s">
        <v>46</v>
      </c>
      <c r="B2" s="29"/>
      <c r="C2" s="29"/>
      <c r="D2" s="29"/>
    </row>
    <row r="3" spans="1:10" ht="30" x14ac:dyDescent="0.25">
      <c r="A3" s="20" t="s">
        <v>28</v>
      </c>
      <c r="B3" s="20" t="s">
        <v>29</v>
      </c>
      <c r="C3" s="20" t="s">
        <v>30</v>
      </c>
      <c r="D3" s="20" t="s">
        <v>31</v>
      </c>
    </row>
    <row r="4" spans="1:10" x14ac:dyDescent="0.25">
      <c r="A4" s="21" t="s">
        <v>32</v>
      </c>
      <c r="B4" s="18">
        <v>137656.68</v>
      </c>
      <c r="C4" s="18">
        <v>162906.99</v>
      </c>
      <c r="D4" s="22">
        <f>B4+C4</f>
        <v>300563.67</v>
      </c>
    </row>
    <row r="5" spans="1:10" x14ac:dyDescent="0.25">
      <c r="A5" s="21" t="s">
        <v>33</v>
      </c>
      <c r="B5" s="18">
        <v>132475.65</v>
      </c>
      <c r="C5" s="18">
        <v>156958.46</v>
      </c>
      <c r="D5" s="22">
        <f t="shared" ref="D5:D15" si="0">B5+C5</f>
        <v>289434.11</v>
      </c>
    </row>
    <row r="6" spans="1:10" x14ac:dyDescent="0.25">
      <c r="A6" s="21" t="s">
        <v>34</v>
      </c>
      <c r="B6" s="18">
        <v>135046.72</v>
      </c>
      <c r="C6" s="18">
        <v>160171.74</v>
      </c>
      <c r="D6" s="22">
        <f t="shared" si="0"/>
        <v>295218.45999999996</v>
      </c>
    </row>
    <row r="7" spans="1:10" x14ac:dyDescent="0.25">
      <c r="A7" s="21" t="s">
        <v>35</v>
      </c>
      <c r="B7" s="18">
        <v>134889.17000000001</v>
      </c>
      <c r="C7" s="18">
        <v>160297.54999999999</v>
      </c>
      <c r="D7" s="22">
        <f t="shared" si="0"/>
        <v>295186.71999999997</v>
      </c>
    </row>
    <row r="8" spans="1:10" x14ac:dyDescent="0.25">
      <c r="A8" s="21" t="s">
        <v>36</v>
      </c>
      <c r="B8" s="18">
        <v>138448.69</v>
      </c>
      <c r="C8" s="18">
        <v>163583.79999999999</v>
      </c>
      <c r="D8" s="22">
        <f t="shared" si="0"/>
        <v>302032.49</v>
      </c>
    </row>
    <row r="9" spans="1:10" x14ac:dyDescent="0.25">
      <c r="A9" s="21" t="s">
        <v>37</v>
      </c>
      <c r="B9" s="18">
        <v>139002.37</v>
      </c>
      <c r="C9" s="18">
        <v>164270.45000000001</v>
      </c>
      <c r="D9" s="22">
        <f t="shared" si="0"/>
        <v>303272.82</v>
      </c>
    </row>
    <row r="10" spans="1:10" x14ac:dyDescent="0.25">
      <c r="A10" s="21" t="s">
        <v>38</v>
      </c>
      <c r="B10" s="18">
        <f>129222+11306.92</f>
        <v>140528.92000000001</v>
      </c>
      <c r="C10" s="18">
        <v>165976.38</v>
      </c>
      <c r="D10" s="22">
        <f t="shared" si="0"/>
        <v>306505.30000000005</v>
      </c>
    </row>
    <row r="11" spans="1:10" x14ac:dyDescent="0.25">
      <c r="A11" s="21" t="s">
        <v>39</v>
      </c>
      <c r="B11" s="18">
        <f>130202.92+11380.77</f>
        <v>141583.69</v>
      </c>
      <c r="C11" s="18">
        <v>168945.15</v>
      </c>
      <c r="D11" s="22">
        <f t="shared" si="0"/>
        <v>310528.83999999997</v>
      </c>
    </row>
    <row r="12" spans="1:10" x14ac:dyDescent="0.25">
      <c r="A12" s="21" t="s">
        <v>40</v>
      </c>
      <c r="B12" s="18">
        <f>130310.98+11402.25</f>
        <v>141713.22999999998</v>
      </c>
      <c r="C12" s="18">
        <v>169415.74</v>
      </c>
      <c r="D12" s="22">
        <f t="shared" si="0"/>
        <v>311128.96999999997</v>
      </c>
    </row>
    <row r="13" spans="1:10" x14ac:dyDescent="0.25">
      <c r="A13" s="21" t="s">
        <v>41</v>
      </c>
      <c r="B13" s="18">
        <f>133511.94+11682.29</f>
        <v>145194.23000000001</v>
      </c>
      <c r="C13" s="18">
        <v>173069.77</v>
      </c>
      <c r="D13" s="22">
        <f t="shared" si="0"/>
        <v>318264</v>
      </c>
    </row>
    <row r="14" spans="1:10" x14ac:dyDescent="0.25">
      <c r="A14" s="21" t="s">
        <v>42</v>
      </c>
      <c r="B14" s="18">
        <v>146054.19</v>
      </c>
      <c r="C14" s="18">
        <v>173948.02</v>
      </c>
      <c r="D14" s="22">
        <f t="shared" si="0"/>
        <v>320002.20999999996</v>
      </c>
      <c r="J14" s="23"/>
    </row>
    <row r="15" spans="1:10" x14ac:dyDescent="0.25">
      <c r="A15" s="21" t="s">
        <v>43</v>
      </c>
      <c r="B15" s="18">
        <v>266087.34999999998</v>
      </c>
      <c r="C15" s="18">
        <f>168243+176394.48</f>
        <v>344637.48</v>
      </c>
      <c r="D15" s="22">
        <f t="shared" si="0"/>
        <v>610724.82999999996</v>
      </c>
      <c r="J15" s="23"/>
    </row>
    <row r="16" spans="1:10" x14ac:dyDescent="0.25">
      <c r="J16" s="23"/>
    </row>
    <row r="17" spans="1:10" x14ac:dyDescent="0.25">
      <c r="A17" s="29" t="s">
        <v>47</v>
      </c>
      <c r="B17" s="29"/>
      <c r="C17" s="29"/>
      <c r="D17" s="29"/>
    </row>
    <row r="18" spans="1:10" ht="30" x14ac:dyDescent="0.25">
      <c r="A18" s="20" t="s">
        <v>28</v>
      </c>
      <c r="B18" s="20" t="s">
        <v>29</v>
      </c>
      <c r="C18" s="20" t="s">
        <v>30</v>
      </c>
      <c r="D18" s="20" t="s">
        <v>31</v>
      </c>
    </row>
    <row r="19" spans="1:10" x14ac:dyDescent="0.25">
      <c r="A19" s="21" t="s">
        <v>32</v>
      </c>
      <c r="B19" s="18">
        <v>44231011.899999999</v>
      </c>
      <c r="C19" s="18">
        <v>20148059.780000001</v>
      </c>
      <c r="D19" s="22">
        <f>B19+C19</f>
        <v>64379071.68</v>
      </c>
    </row>
    <row r="20" spans="1:10" x14ac:dyDescent="0.25">
      <c r="A20" s="21" t="s">
        <v>33</v>
      </c>
      <c r="B20" s="18">
        <v>44205956.079999998</v>
      </c>
      <c r="C20" s="18">
        <v>20062600.420000002</v>
      </c>
      <c r="D20" s="22">
        <f t="shared" ref="D20:D30" si="1">B20+C20</f>
        <v>64268556.5</v>
      </c>
      <c r="G20" s="23"/>
      <c r="J20" s="23"/>
    </row>
    <row r="21" spans="1:10" x14ac:dyDescent="0.25">
      <c r="A21" s="21" t="s">
        <v>34</v>
      </c>
      <c r="B21" s="18">
        <v>44323244.979999997</v>
      </c>
      <c r="C21" s="18">
        <v>20050839.920000002</v>
      </c>
      <c r="D21" s="22">
        <f t="shared" si="1"/>
        <v>64374084.899999999</v>
      </c>
      <c r="G21" s="23"/>
    </row>
    <row r="22" spans="1:10" x14ac:dyDescent="0.25">
      <c r="A22" s="21" t="s">
        <v>35</v>
      </c>
      <c r="B22" s="18">
        <v>43913158.659999996</v>
      </c>
      <c r="C22" s="18">
        <v>20103531.030000001</v>
      </c>
      <c r="D22" s="22">
        <f t="shared" si="1"/>
        <v>64016689.689999998</v>
      </c>
      <c r="G22" s="23"/>
      <c r="J22" s="24"/>
    </row>
    <row r="23" spans="1:10" x14ac:dyDescent="0.25">
      <c r="A23" s="21" t="s">
        <v>36</v>
      </c>
      <c r="B23" s="18">
        <v>44192503.079999998</v>
      </c>
      <c r="C23" s="18">
        <v>20042581.219999999</v>
      </c>
      <c r="D23" s="22">
        <f t="shared" si="1"/>
        <v>64235084.299999997</v>
      </c>
      <c r="G23" s="23"/>
    </row>
    <row r="24" spans="1:10" x14ac:dyDescent="0.25">
      <c r="A24" s="21" t="s">
        <v>37</v>
      </c>
      <c r="B24" s="18">
        <v>43921684.140000001</v>
      </c>
      <c r="C24" s="18">
        <v>19917820.600000001</v>
      </c>
      <c r="D24" s="22">
        <f t="shared" si="1"/>
        <v>63839504.740000002</v>
      </c>
      <c r="G24" s="25"/>
      <c r="J24" s="27"/>
    </row>
    <row r="25" spans="1:10" x14ac:dyDescent="0.25">
      <c r="A25" s="21" t="s">
        <v>38</v>
      </c>
      <c r="B25" s="18">
        <f>37373251.08+1196922.32+4229296.54+130207.69</f>
        <v>42929677.629999995</v>
      </c>
      <c r="C25" s="18">
        <f>18701753.23+761824.52</f>
        <v>19463577.75</v>
      </c>
      <c r="D25" s="22">
        <f t="shared" si="1"/>
        <v>62393255.379999995</v>
      </c>
    </row>
    <row r="26" spans="1:10" x14ac:dyDescent="0.25">
      <c r="A26" s="21" t="s">
        <v>39</v>
      </c>
      <c r="B26" s="18">
        <f>37276697.08+1355954.16+4255732.98+144320.87</f>
        <v>43032705.089999996</v>
      </c>
      <c r="C26" s="18">
        <f>18652735.82+863026.63</f>
        <v>19515762.449999999</v>
      </c>
      <c r="D26" s="22">
        <f t="shared" si="1"/>
        <v>62548467.539999992</v>
      </c>
    </row>
    <row r="27" spans="1:10" x14ac:dyDescent="0.25">
      <c r="A27" s="21" t="s">
        <v>40</v>
      </c>
      <c r="B27" s="18">
        <f>36576451.5+1294362.08+4173323.88+139119.71</f>
        <v>42183257.170000002</v>
      </c>
      <c r="C27" s="18">
        <f>18300535.22+823831.65</f>
        <v>19124366.869999997</v>
      </c>
      <c r="D27" s="22">
        <f t="shared" si="1"/>
        <v>61307624.039999999</v>
      </c>
    </row>
    <row r="28" spans="1:10" x14ac:dyDescent="0.25">
      <c r="A28" s="21" t="s">
        <v>41</v>
      </c>
      <c r="B28" s="18">
        <f>1423266.68+150259.12+37327813.24+3977095.13</f>
        <v>42878434.170000002</v>
      </c>
      <c r="C28" s="18">
        <f>905861.84+18675147.7</f>
        <v>19581009.539999999</v>
      </c>
      <c r="D28" s="22">
        <f t="shared" si="1"/>
        <v>62459443.710000001</v>
      </c>
    </row>
    <row r="29" spans="1:10" x14ac:dyDescent="0.25">
      <c r="A29" s="21" t="s">
        <v>42</v>
      </c>
      <c r="B29" s="18">
        <v>42772477.270000003</v>
      </c>
      <c r="C29" s="18">
        <v>19526528.199999999</v>
      </c>
      <c r="D29" s="22">
        <f t="shared" si="1"/>
        <v>62299005.469999999</v>
      </c>
    </row>
    <row r="30" spans="1:10" x14ac:dyDescent="0.25">
      <c r="A30" s="21" t="s">
        <v>43</v>
      </c>
      <c r="B30" s="18">
        <f>37141252.58+1448837.5+37232058.64+1244532.74</f>
        <v>77066681.459999993</v>
      </c>
      <c r="C30" s="18">
        <f>18616029.31+18582634.78+921987.48+791975.41</f>
        <v>38912626.979999997</v>
      </c>
      <c r="D30" s="22">
        <f t="shared" si="1"/>
        <v>115979308.44</v>
      </c>
    </row>
    <row r="32" spans="1:10" x14ac:dyDescent="0.25">
      <c r="A32" s="29" t="s">
        <v>48</v>
      </c>
      <c r="B32" s="29"/>
      <c r="C32" s="29"/>
      <c r="D32" s="29"/>
    </row>
    <row r="33" spans="1:14" ht="30" x14ac:dyDescent="0.25">
      <c r="A33" s="20" t="s">
        <v>28</v>
      </c>
      <c r="B33" s="20" t="s">
        <v>29</v>
      </c>
      <c r="C33" s="20" t="s">
        <v>30</v>
      </c>
      <c r="D33" s="20" t="s">
        <v>31</v>
      </c>
    </row>
    <row r="34" spans="1:14" x14ac:dyDescent="0.25">
      <c r="A34" s="21" t="s">
        <v>32</v>
      </c>
      <c r="B34" s="18">
        <v>471343.43</v>
      </c>
      <c r="C34" s="18">
        <v>169313.25</v>
      </c>
      <c r="D34" s="22">
        <f>B34+C34</f>
        <v>640656.67999999993</v>
      </c>
    </row>
    <row r="35" spans="1:14" x14ac:dyDescent="0.25">
      <c r="A35" s="21" t="s">
        <v>33</v>
      </c>
      <c r="B35" s="18">
        <v>472573.71</v>
      </c>
      <c r="C35" s="18">
        <v>178341.34</v>
      </c>
      <c r="D35" s="22">
        <f t="shared" ref="D35:D45" si="2">B35+C35</f>
        <v>650915.05000000005</v>
      </c>
      <c r="H35" s="23"/>
      <c r="K35" s="23"/>
    </row>
    <row r="36" spans="1:14" x14ac:dyDescent="0.25">
      <c r="A36" s="21" t="s">
        <v>34</v>
      </c>
      <c r="B36" s="18">
        <v>472692.1</v>
      </c>
      <c r="C36" s="18">
        <v>170766.51</v>
      </c>
      <c r="D36" s="22">
        <f t="shared" si="2"/>
        <v>643458.61</v>
      </c>
      <c r="K36" s="23"/>
    </row>
    <row r="37" spans="1:14" x14ac:dyDescent="0.25">
      <c r="A37" s="21" t="s">
        <v>35</v>
      </c>
      <c r="B37" s="18">
        <v>473975.8</v>
      </c>
      <c r="C37" s="18">
        <v>172845.93</v>
      </c>
      <c r="D37" s="22">
        <f t="shared" si="2"/>
        <v>646821.73</v>
      </c>
      <c r="K37" s="23"/>
    </row>
    <row r="38" spans="1:14" x14ac:dyDescent="0.25">
      <c r="A38" s="21" t="s">
        <v>36</v>
      </c>
      <c r="B38" s="18">
        <v>473445.32</v>
      </c>
      <c r="C38" s="18">
        <v>171119.5</v>
      </c>
      <c r="D38" s="22">
        <f t="shared" si="2"/>
        <v>644564.82000000007</v>
      </c>
      <c r="H38" s="27"/>
    </row>
    <row r="39" spans="1:14" x14ac:dyDescent="0.25">
      <c r="A39" s="21" t="s">
        <v>37</v>
      </c>
      <c r="B39" s="18">
        <v>473445.32</v>
      </c>
      <c r="C39" s="18">
        <v>173698.08</v>
      </c>
      <c r="D39" s="22">
        <f t="shared" si="2"/>
        <v>647143.4</v>
      </c>
      <c r="N39" s="26"/>
    </row>
    <row r="40" spans="1:14" x14ac:dyDescent="0.25">
      <c r="A40" s="21" t="s">
        <v>38</v>
      </c>
      <c r="B40" s="18">
        <v>474563.98</v>
      </c>
      <c r="C40" s="18">
        <v>186679.57</v>
      </c>
      <c r="D40" s="22">
        <f t="shared" si="2"/>
        <v>661243.55000000005</v>
      </c>
    </row>
    <row r="41" spans="1:14" x14ac:dyDescent="0.25">
      <c r="A41" s="21" t="s">
        <v>39</v>
      </c>
      <c r="B41" s="18">
        <f>449997.46+37499.78+1874.99</f>
        <v>489372.23</v>
      </c>
      <c r="C41" s="18">
        <v>182477.26</v>
      </c>
      <c r="D41" s="22">
        <f t="shared" si="2"/>
        <v>671849.49</v>
      </c>
    </row>
    <row r="42" spans="1:14" x14ac:dyDescent="0.25">
      <c r="A42" s="21" t="s">
        <v>40</v>
      </c>
      <c r="B42" s="18">
        <f>429090.75+21689.76+37957.09+1897.85</f>
        <v>490635.44999999995</v>
      </c>
      <c r="C42" s="18">
        <v>190924.19</v>
      </c>
      <c r="D42" s="22">
        <f t="shared" si="2"/>
        <v>681559.6399999999</v>
      </c>
    </row>
    <row r="43" spans="1:14" x14ac:dyDescent="0.25">
      <c r="A43" s="21" t="s">
        <v>41</v>
      </c>
      <c r="B43" s="18">
        <f>432983.28+21753.89+38069.3+1903.46</f>
        <v>494709.93000000005</v>
      </c>
      <c r="C43" s="18">
        <v>187536.15</v>
      </c>
      <c r="D43" s="22">
        <f t="shared" si="2"/>
        <v>682246.08000000007</v>
      </c>
    </row>
    <row r="44" spans="1:14" x14ac:dyDescent="0.25">
      <c r="A44" s="21" t="s">
        <v>42</v>
      </c>
      <c r="B44" s="18">
        <f>432520.32+39947.29</f>
        <v>472467.61</v>
      </c>
      <c r="C44" s="18">
        <v>186025.48</v>
      </c>
      <c r="D44" s="22">
        <f t="shared" si="2"/>
        <v>658493.09</v>
      </c>
    </row>
    <row r="45" spans="1:14" x14ac:dyDescent="0.25">
      <c r="A45" s="21" t="s">
        <v>43</v>
      </c>
      <c r="B45" s="18">
        <f>481338.71+409704.51+25461.7+20485.23</f>
        <v>936990.14999999991</v>
      </c>
      <c r="C45" s="18">
        <f>173330.57+203078</f>
        <v>376408.57</v>
      </c>
      <c r="D45" s="22">
        <f t="shared" si="2"/>
        <v>1313398.72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tabSelected="1" topLeftCell="A4" workbookViewId="0">
      <selection activeCell="H34" sqref="H34"/>
    </sheetView>
  </sheetViews>
  <sheetFormatPr defaultRowHeight="15" x14ac:dyDescent="0.25"/>
  <cols>
    <col min="1" max="1" width="10.140625" style="19" bestFit="1" customWidth="1"/>
    <col min="2" max="3" width="16.85546875" style="19" bestFit="1" customWidth="1"/>
    <col min="4" max="4" width="18" style="19" bestFit="1" customWidth="1"/>
    <col min="5" max="5" width="9.140625" style="19"/>
    <col min="6" max="6" width="10" style="19" bestFit="1" customWidth="1"/>
    <col min="7" max="7" width="14.28515625" style="19" bestFit="1" customWidth="1"/>
    <col min="8" max="8" width="11.5703125" style="19" bestFit="1" customWidth="1"/>
    <col min="9" max="10" width="14.28515625" style="19" bestFit="1" customWidth="1"/>
    <col min="11" max="11" width="11.5703125" style="19" bestFit="1" customWidth="1"/>
    <col min="12" max="13" width="9.140625" style="19"/>
    <col min="14" max="14" width="13.28515625" style="19" bestFit="1" customWidth="1"/>
    <col min="15" max="16384" width="9.140625" style="19"/>
  </cols>
  <sheetData>
    <row r="2" spans="1:10" x14ac:dyDescent="0.25">
      <c r="A2" s="29" t="s">
        <v>49</v>
      </c>
      <c r="B2" s="29"/>
      <c r="C2" s="29"/>
      <c r="D2" s="29"/>
    </row>
    <row r="3" spans="1:10" ht="30" x14ac:dyDescent="0.25">
      <c r="A3" s="20" t="s">
        <v>28</v>
      </c>
      <c r="B3" s="20" t="s">
        <v>29</v>
      </c>
      <c r="C3" s="20" t="s">
        <v>30</v>
      </c>
      <c r="D3" s="20" t="s">
        <v>31</v>
      </c>
    </row>
    <row r="4" spans="1:10" x14ac:dyDescent="0.25">
      <c r="A4" s="21" t="s">
        <v>32</v>
      </c>
      <c r="B4" s="18">
        <v>130908.19</v>
      </c>
      <c r="C4" s="18">
        <v>177071.27</v>
      </c>
      <c r="D4" s="22">
        <f>B4+C4</f>
        <v>307979.45999999996</v>
      </c>
    </row>
    <row r="5" spans="1:10" x14ac:dyDescent="0.25">
      <c r="A5" s="21" t="s">
        <v>33</v>
      </c>
      <c r="B5" s="18">
        <v>138101.42000000001</v>
      </c>
      <c r="C5" s="18">
        <v>188635.2</v>
      </c>
      <c r="D5" s="22">
        <f t="shared" ref="D5:D15" si="0">B5+C5</f>
        <v>326736.62</v>
      </c>
    </row>
    <row r="6" spans="1:10" x14ac:dyDescent="0.25">
      <c r="A6" s="21" t="s">
        <v>34</v>
      </c>
      <c r="B6" s="18"/>
      <c r="C6" s="18"/>
      <c r="D6" s="22">
        <f t="shared" si="0"/>
        <v>0</v>
      </c>
    </row>
    <row r="7" spans="1:10" x14ac:dyDescent="0.25">
      <c r="A7" s="21" t="s">
        <v>35</v>
      </c>
      <c r="B7" s="18"/>
      <c r="C7" s="18"/>
      <c r="D7" s="22">
        <f t="shared" si="0"/>
        <v>0</v>
      </c>
    </row>
    <row r="8" spans="1:10" x14ac:dyDescent="0.25">
      <c r="A8" s="21" t="s">
        <v>36</v>
      </c>
      <c r="B8" s="18"/>
      <c r="C8" s="18"/>
      <c r="D8" s="22">
        <f t="shared" si="0"/>
        <v>0</v>
      </c>
    </row>
    <row r="9" spans="1:10" x14ac:dyDescent="0.25">
      <c r="A9" s="21" t="s">
        <v>37</v>
      </c>
      <c r="B9" s="18"/>
      <c r="C9" s="18"/>
      <c r="D9" s="22">
        <f t="shared" si="0"/>
        <v>0</v>
      </c>
    </row>
    <row r="10" spans="1:10" x14ac:dyDescent="0.25">
      <c r="A10" s="21" t="s">
        <v>38</v>
      </c>
      <c r="B10" s="18"/>
      <c r="C10" s="18"/>
      <c r="D10" s="22">
        <f t="shared" si="0"/>
        <v>0</v>
      </c>
    </row>
    <row r="11" spans="1:10" x14ac:dyDescent="0.25">
      <c r="A11" s="21" t="s">
        <v>39</v>
      </c>
      <c r="B11" s="18"/>
      <c r="C11" s="18"/>
      <c r="D11" s="22">
        <f t="shared" si="0"/>
        <v>0</v>
      </c>
    </row>
    <row r="12" spans="1:10" x14ac:dyDescent="0.25">
      <c r="A12" s="21" t="s">
        <v>40</v>
      </c>
      <c r="B12" s="18"/>
      <c r="C12" s="18"/>
      <c r="D12" s="22">
        <f t="shared" si="0"/>
        <v>0</v>
      </c>
    </row>
    <row r="13" spans="1:10" x14ac:dyDescent="0.25">
      <c r="A13" s="21" t="s">
        <v>41</v>
      </c>
      <c r="B13" s="18"/>
      <c r="C13" s="18"/>
      <c r="D13" s="22">
        <f t="shared" si="0"/>
        <v>0</v>
      </c>
    </row>
    <row r="14" spans="1:10" x14ac:dyDescent="0.25">
      <c r="A14" s="21" t="s">
        <v>42</v>
      </c>
      <c r="B14" s="18"/>
      <c r="C14" s="18"/>
      <c r="D14" s="22">
        <f t="shared" si="0"/>
        <v>0</v>
      </c>
      <c r="J14" s="23"/>
    </row>
    <row r="15" spans="1:10" x14ac:dyDescent="0.25">
      <c r="A15" s="21" t="s">
        <v>43</v>
      </c>
      <c r="B15" s="18"/>
      <c r="C15" s="18"/>
      <c r="D15" s="22">
        <f t="shared" si="0"/>
        <v>0</v>
      </c>
      <c r="J15" s="23"/>
    </row>
    <row r="16" spans="1:10" x14ac:dyDescent="0.25">
      <c r="J16" s="23"/>
    </row>
    <row r="17" spans="1:10" x14ac:dyDescent="0.25">
      <c r="A17" s="29" t="s">
        <v>50</v>
      </c>
      <c r="B17" s="29"/>
      <c r="C17" s="29"/>
      <c r="D17" s="29"/>
    </row>
    <row r="18" spans="1:10" ht="30" x14ac:dyDescent="0.25">
      <c r="A18" s="20" t="s">
        <v>28</v>
      </c>
      <c r="B18" s="20" t="s">
        <v>29</v>
      </c>
      <c r="C18" s="20" t="s">
        <v>30</v>
      </c>
      <c r="D18" s="20" t="s">
        <v>31</v>
      </c>
    </row>
    <row r="19" spans="1:10" x14ac:dyDescent="0.25">
      <c r="A19" s="21" t="s">
        <v>32</v>
      </c>
      <c r="B19" s="18">
        <f>36296228.76+1499313.2</f>
        <v>37795541.960000001</v>
      </c>
      <c r="C19" s="18">
        <f>18162153.87+954108.38</f>
        <v>19116262.25</v>
      </c>
      <c r="D19" s="22">
        <f>B19+C19</f>
        <v>56911804.210000001</v>
      </c>
    </row>
    <row r="20" spans="1:10" x14ac:dyDescent="0.25">
      <c r="A20" s="21" t="s">
        <v>33</v>
      </c>
      <c r="B20" s="18">
        <f>2342117.12+43616287.48+1858387.3</f>
        <v>47816791.899999991</v>
      </c>
      <c r="C20" s="18">
        <f>1171058.5+21821075.49+1182610.03</f>
        <v>24174744.02</v>
      </c>
      <c r="D20" s="22">
        <f t="shared" ref="D20:D30" si="1">B20+C20</f>
        <v>71991535.919999987</v>
      </c>
      <c r="G20" s="23"/>
      <c r="I20" s="23"/>
      <c r="J20" s="23"/>
    </row>
    <row r="21" spans="1:10" x14ac:dyDescent="0.25">
      <c r="A21" s="21" t="s">
        <v>34</v>
      </c>
      <c r="B21" s="18"/>
      <c r="C21" s="18"/>
      <c r="D21" s="22">
        <f t="shared" si="1"/>
        <v>0</v>
      </c>
      <c r="G21" s="23"/>
      <c r="I21" s="23"/>
    </row>
    <row r="22" spans="1:10" x14ac:dyDescent="0.25">
      <c r="A22" s="21" t="s">
        <v>35</v>
      </c>
      <c r="B22" s="18"/>
      <c r="C22" s="18"/>
      <c r="D22" s="22">
        <f t="shared" si="1"/>
        <v>0</v>
      </c>
      <c r="G22" s="23"/>
      <c r="I22" s="23"/>
      <c r="J22" s="27"/>
    </row>
    <row r="23" spans="1:10" x14ac:dyDescent="0.25">
      <c r="A23" s="21" t="s">
        <v>36</v>
      </c>
      <c r="B23" s="18"/>
      <c r="C23" s="18"/>
      <c r="D23" s="22">
        <f t="shared" si="1"/>
        <v>0</v>
      </c>
      <c r="G23" s="23"/>
    </row>
    <row r="24" spans="1:10" x14ac:dyDescent="0.25">
      <c r="A24" s="21" t="s">
        <v>37</v>
      </c>
      <c r="B24" s="18"/>
      <c r="C24" s="18"/>
      <c r="D24" s="22">
        <f t="shared" si="1"/>
        <v>0</v>
      </c>
      <c r="G24" s="23"/>
      <c r="J24" s="27"/>
    </row>
    <row r="25" spans="1:10" x14ac:dyDescent="0.25">
      <c r="A25" s="21" t="s">
        <v>38</v>
      </c>
      <c r="B25" s="18"/>
      <c r="C25" s="18"/>
      <c r="D25" s="22">
        <f t="shared" si="1"/>
        <v>0</v>
      </c>
    </row>
    <row r="26" spans="1:10" x14ac:dyDescent="0.25">
      <c r="A26" s="21" t="s">
        <v>39</v>
      </c>
      <c r="B26" s="18"/>
      <c r="C26" s="18"/>
      <c r="D26" s="22">
        <f t="shared" si="1"/>
        <v>0</v>
      </c>
    </row>
    <row r="27" spans="1:10" x14ac:dyDescent="0.25">
      <c r="A27" s="21" t="s">
        <v>40</v>
      </c>
      <c r="B27" s="18"/>
      <c r="C27" s="18"/>
      <c r="D27" s="22">
        <f t="shared" si="1"/>
        <v>0</v>
      </c>
    </row>
    <row r="28" spans="1:10" x14ac:dyDescent="0.25">
      <c r="A28" s="21" t="s">
        <v>41</v>
      </c>
      <c r="B28" s="18"/>
      <c r="C28" s="18"/>
      <c r="D28" s="22">
        <f t="shared" si="1"/>
        <v>0</v>
      </c>
    </row>
    <row r="29" spans="1:10" x14ac:dyDescent="0.25">
      <c r="A29" s="21" t="s">
        <v>42</v>
      </c>
      <c r="B29" s="18"/>
      <c r="C29" s="18"/>
      <c r="D29" s="22">
        <f t="shared" si="1"/>
        <v>0</v>
      </c>
    </row>
    <row r="30" spans="1:10" x14ac:dyDescent="0.25">
      <c r="A30" s="21" t="s">
        <v>43</v>
      </c>
      <c r="B30" s="18"/>
      <c r="C30" s="18"/>
      <c r="D30" s="22">
        <f t="shared" si="1"/>
        <v>0</v>
      </c>
    </row>
    <row r="32" spans="1:10" x14ac:dyDescent="0.25">
      <c r="A32" s="29" t="s">
        <v>51</v>
      </c>
      <c r="B32" s="29"/>
      <c r="C32" s="29"/>
      <c r="D32" s="29"/>
    </row>
    <row r="33" spans="1:14" ht="30" x14ac:dyDescent="0.25">
      <c r="A33" s="20" t="s">
        <v>28</v>
      </c>
      <c r="B33" s="20" t="s">
        <v>29</v>
      </c>
      <c r="C33" s="20" t="s">
        <v>30</v>
      </c>
      <c r="D33" s="20" t="s">
        <v>31</v>
      </c>
    </row>
    <row r="34" spans="1:14" x14ac:dyDescent="0.25">
      <c r="A34" s="21" t="s">
        <v>32</v>
      </c>
      <c r="B34" s="18">
        <f>504699.28+25234.96</f>
        <v>529934.24</v>
      </c>
      <c r="C34" s="18">
        <v>229458.47</v>
      </c>
      <c r="D34" s="22">
        <f>B34+C34</f>
        <v>759392.71</v>
      </c>
    </row>
    <row r="35" spans="1:14" x14ac:dyDescent="0.25">
      <c r="A35" s="21" t="s">
        <v>33</v>
      </c>
      <c r="B35" s="18">
        <f>573065.57+28726.64</f>
        <v>601792.21</v>
      </c>
      <c r="C35" s="18">
        <v>287840.59999999998</v>
      </c>
      <c r="D35" s="22">
        <f t="shared" ref="D35:D45" si="2">B35+C35</f>
        <v>889632.80999999994</v>
      </c>
      <c r="H35" s="23"/>
      <c r="K35" s="23"/>
    </row>
    <row r="36" spans="1:14" x14ac:dyDescent="0.25">
      <c r="A36" s="21" t="s">
        <v>34</v>
      </c>
      <c r="B36" s="18"/>
      <c r="C36" s="18"/>
      <c r="D36" s="22">
        <f t="shared" si="2"/>
        <v>0</v>
      </c>
      <c r="K36" s="23"/>
    </row>
    <row r="37" spans="1:14" x14ac:dyDescent="0.25">
      <c r="A37" s="21" t="s">
        <v>35</v>
      </c>
      <c r="B37" s="18"/>
      <c r="C37" s="18"/>
      <c r="D37" s="22">
        <f t="shared" si="2"/>
        <v>0</v>
      </c>
      <c r="K37" s="23"/>
    </row>
    <row r="38" spans="1:14" x14ac:dyDescent="0.25">
      <c r="A38" s="21" t="s">
        <v>36</v>
      </c>
      <c r="B38" s="18"/>
      <c r="C38" s="18"/>
      <c r="D38" s="22">
        <f t="shared" si="2"/>
        <v>0</v>
      </c>
      <c r="H38" s="27"/>
    </row>
    <row r="39" spans="1:14" x14ac:dyDescent="0.25">
      <c r="A39" s="21" t="s">
        <v>37</v>
      </c>
      <c r="B39" s="18"/>
      <c r="C39" s="18"/>
      <c r="D39" s="22">
        <f t="shared" si="2"/>
        <v>0</v>
      </c>
      <c r="N39" s="26"/>
    </row>
    <row r="40" spans="1:14" x14ac:dyDescent="0.25">
      <c r="A40" s="21" t="s">
        <v>38</v>
      </c>
      <c r="B40" s="18"/>
      <c r="C40" s="18"/>
      <c r="D40" s="22">
        <f t="shared" si="2"/>
        <v>0</v>
      </c>
    </row>
    <row r="41" spans="1:14" x14ac:dyDescent="0.25">
      <c r="A41" s="21" t="s">
        <v>39</v>
      </c>
      <c r="B41" s="18"/>
      <c r="C41" s="18"/>
      <c r="D41" s="22">
        <f t="shared" si="2"/>
        <v>0</v>
      </c>
    </row>
    <row r="42" spans="1:14" x14ac:dyDescent="0.25">
      <c r="A42" s="21" t="s">
        <v>40</v>
      </c>
      <c r="B42" s="18"/>
      <c r="C42" s="18"/>
      <c r="D42" s="22">
        <f t="shared" si="2"/>
        <v>0</v>
      </c>
    </row>
    <row r="43" spans="1:14" x14ac:dyDescent="0.25">
      <c r="A43" s="21" t="s">
        <v>41</v>
      </c>
      <c r="B43" s="18"/>
      <c r="C43" s="18"/>
      <c r="D43" s="22">
        <f t="shared" si="2"/>
        <v>0</v>
      </c>
    </row>
    <row r="44" spans="1:14" x14ac:dyDescent="0.25">
      <c r="A44" s="21" t="s">
        <v>42</v>
      </c>
      <c r="B44" s="18"/>
      <c r="C44" s="18"/>
      <c r="D44" s="22">
        <f t="shared" si="2"/>
        <v>0</v>
      </c>
    </row>
    <row r="45" spans="1:14" x14ac:dyDescent="0.25">
      <c r="A45" s="21" t="s">
        <v>43</v>
      </c>
      <c r="B45" s="18"/>
      <c r="C45" s="18"/>
      <c r="D45" s="22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2018 - Analítico</vt:lpstr>
      <vt:lpstr>2018 - Sintético</vt:lpstr>
      <vt:lpstr>2019 - Analítico</vt:lpstr>
      <vt:lpstr>2019 -Sintético</vt:lpstr>
      <vt:lpstr>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Justino Henrique de Oliveira Freitas</dc:creator>
  <cp:keywords/>
  <dc:description/>
  <cp:lastModifiedBy>Lucio Pereira Sousa</cp:lastModifiedBy>
  <cp:revision/>
  <dcterms:created xsi:type="dcterms:W3CDTF">2018-11-05T15:04:45Z</dcterms:created>
  <dcterms:modified xsi:type="dcterms:W3CDTF">2022-03-03T12:57:01Z</dcterms:modified>
  <cp:category/>
  <cp:contentStatus/>
</cp:coreProperties>
</file>